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HuaweiMoveData\Users\HUAWEI\Desktop\"/>
    </mc:Choice>
  </mc:AlternateContent>
  <xr:revisionPtr revIDLastSave="0" documentId="13_ncr:1_{4BA417A9-EEF6-4406-9ACF-2652B8A77DB4}" xr6:coauthVersionLast="36" xr6:coauthVersionMax="36" xr10:uidLastSave="{00000000-0000-0000-0000-000000000000}"/>
  <bookViews>
    <workbookView xWindow="0" yWindow="0" windowWidth="18350" windowHeight="8010" firstSheet="2" activeTab="2" xr2:uid="{00000000-000D-0000-FFFF-FFFF00000000}"/>
  </bookViews>
  <sheets>
    <sheet name="空运部" sheetId="1" state="hidden" r:id="rId1"/>
    <sheet name="海运部" sheetId="2" state="hidden" r:id="rId2"/>
    <sheet name="进出口预算表" sheetId="3" r:id="rId3"/>
    <sheet name="运费" sheetId="4" r:id="rId4"/>
    <sheet name="商品相关信息" sheetId="5" r:id="rId5"/>
    <sheet name="十国汇率表" sheetId="6" r:id="rId6"/>
    <sheet name="十国市场表" sheetId="7" r:id="rId7"/>
    <sheet name="商品税率表" sheetId="8" r:id="rId8"/>
    <sheet name="费用相关信息" sheetId="9" r:id="rId9"/>
    <sheet name="十国工厂表" sheetId="10" r:id="rId10"/>
    <sheet name="保费" sheetId="11" r:id="rId11"/>
  </sheets>
  <externalReferences>
    <externalReference r:id="rId12"/>
  </externalReferences>
  <definedNames>
    <definedName name="_xlnm._FilterDatabase" localSheetId="7" hidden="1">商品税率表!$A$1:$L$210</definedName>
    <definedName name="_xlnm._FilterDatabase" localSheetId="9" hidden="1">十国工厂表!$A$1:$W$210</definedName>
    <definedName name="_xlnm._FilterDatabase" localSheetId="6">十国市场表!$A$1:$B$210</definedName>
    <definedName name="澳大利亚">十国市场表!$A$215:$A$249</definedName>
    <definedName name="澳大利亚汇率">十国汇率表!$D$1:$F$11</definedName>
    <definedName name="巴西">十国市场表!$B$215:$B$250</definedName>
    <definedName name="巴西汇率">十国汇率表!$D$12:$F$22</definedName>
    <definedName name="德国">十国市场表!$D$215:$D$250</definedName>
    <definedName name="德国汇率">十国汇率表!$D$34:$F$44</definedName>
    <definedName name="俄罗斯汇率">十国汇率表!$D$78:$F$88</definedName>
    <definedName name="各国商品">十国市场表!$A$214:$J$255</definedName>
    <definedName name="古巴">十国市场表!$C$215:$C$250</definedName>
    <definedName name="古巴汇率">十国汇率表!$D$23:$F$33</definedName>
    <definedName name="国家">十国汇率表!$W$3:$X$12</definedName>
    <definedName name="国家名字">十国市场表!$A$214:$J$214</definedName>
    <definedName name="海运_航线代号对照表" localSheetId="0">[1]海运部!$H$10:$J$27</definedName>
    <definedName name="海运_航线代号对照表">海运部!$H$10:$J$27</definedName>
    <definedName name="海运_航线名称" localSheetId="0">[1]海运部!$H$2</definedName>
    <definedName name="海运_航线名称">海运部!$H$2</definedName>
    <definedName name="海运_控制下移量" localSheetId="0">[1]海运部!$H$5</definedName>
    <definedName name="海运_控制下移量">海运部!$H$5</definedName>
    <definedName name="海运_选择_航线名称代号">海运部!$H$1</definedName>
    <definedName name="基本险">保费!$J$4:$J$12</definedName>
    <definedName name="检验检疫费用">费用相关信息!$C$17:$N$29</definedName>
    <definedName name="结算方式">保费!$A$33:$D$33</definedName>
    <definedName name="空运_航线代号对照表">[1]空运部!$K$7:$M$24</definedName>
    <definedName name="空运_航线名称">[1]空运部!$K$2</definedName>
    <definedName name="空运_控制下移量">[1]空运部!$K$4</definedName>
    <definedName name="空运_选择_航线名称代号">空运部!$K$1</definedName>
    <definedName name="美国汇率">十国汇率表!$D$89:$F$99</definedName>
    <definedName name="南非汇率">十国汇率表!$D$100:$F$110</definedName>
    <definedName name="日本汇率">十国汇率表!$D$56:$F$66</definedName>
    <definedName name="商品名称">十国工厂表!$A$1:$B$210</definedName>
    <definedName name="特殊附加险">保费!$J$13:$J$15</definedName>
    <definedName name="银行费率">费用相关信息!$R$17:$S$22</definedName>
    <definedName name="银行手续费">费用相关信息!$C$4:$P$13</definedName>
    <definedName name="英国汇率">十国汇率表!$D$45:$F$55</definedName>
    <definedName name="运输方式">运费!$F$27:$F$29</definedName>
    <definedName name="中国汇率">十国汇率表!$D$67:$F$77</definedName>
  </definedNames>
  <calcPr calcId="179021"/>
</workbook>
</file>

<file path=xl/calcChain.xml><?xml version="1.0" encoding="utf-8"?>
<calcChain xmlns="http://schemas.openxmlformats.org/spreadsheetml/2006/main">
  <c r="F17" i="3" l="1"/>
  <c r="C24" i="11" l="1"/>
  <c r="B24" i="11"/>
  <c r="B20" i="11"/>
  <c r="C20" i="11" s="1"/>
  <c r="C19" i="11"/>
  <c r="B19" i="11"/>
  <c r="C16" i="11"/>
  <c r="B16" i="11"/>
  <c r="C15" i="11"/>
  <c r="B15" i="11"/>
  <c r="F14" i="11"/>
  <c r="E14" i="11"/>
  <c r="D14" i="11"/>
  <c r="C14" i="11"/>
  <c r="B14" i="11"/>
  <c r="B13" i="11"/>
  <c r="D29" i="11" s="1"/>
  <c r="B9" i="11"/>
  <c r="B8" i="11"/>
  <c r="F7" i="11"/>
  <c r="C7" i="11"/>
  <c r="E5" i="11"/>
  <c r="B5" i="11"/>
  <c r="F4" i="11"/>
  <c r="E4" i="11"/>
  <c r="C4" i="11"/>
  <c r="B4" i="11"/>
  <c r="F3" i="11"/>
  <c r="C19" i="3" s="1"/>
  <c r="E3" i="11"/>
  <c r="B3" i="11"/>
  <c r="C3" i="11" s="1"/>
  <c r="R9" i="10"/>
  <c r="R7" i="10"/>
  <c r="R6" i="10"/>
  <c r="R5" i="10"/>
  <c r="R3" i="10"/>
  <c r="R5" i="9"/>
  <c r="D179" i="8"/>
  <c r="L2" i="8"/>
  <c r="K36" i="6"/>
  <c r="R4" i="5"/>
  <c r="S4" i="5" s="1"/>
  <c r="S1" i="5" s="1"/>
  <c r="F33" i="4" s="1"/>
  <c r="K50" i="4"/>
  <c r="J50" i="4"/>
  <c r="I50" i="4"/>
  <c r="E50" i="4"/>
  <c r="F36" i="4"/>
  <c r="D50" i="4" s="1"/>
  <c r="J35" i="4"/>
  <c r="F35" i="4"/>
  <c r="F34" i="4"/>
  <c r="C44" i="3"/>
  <c r="D44" i="3" s="1"/>
  <c r="C43" i="3"/>
  <c r="D43" i="3" s="1"/>
  <c r="D42" i="3"/>
  <c r="B42" i="3"/>
  <c r="D41" i="3"/>
  <c r="D40" i="3"/>
  <c r="P39" i="3"/>
  <c r="O39" i="3"/>
  <c r="N39" i="3"/>
  <c r="D39" i="3"/>
  <c r="D38" i="3"/>
  <c r="O34" i="3"/>
  <c r="O33" i="3"/>
  <c r="O32" i="3"/>
  <c r="O31" i="3"/>
  <c r="J31" i="3"/>
  <c r="P30" i="3"/>
  <c r="R20" i="3" s="1"/>
  <c r="S20" i="3" s="1"/>
  <c r="S24" i="3" s="1"/>
  <c r="O30" i="3"/>
  <c r="K30" i="3"/>
  <c r="J30" i="3"/>
  <c r="P29" i="3"/>
  <c r="O29" i="3"/>
  <c r="J29" i="3"/>
  <c r="E29" i="3"/>
  <c r="D29" i="3"/>
  <c r="C29" i="3"/>
  <c r="O28" i="3"/>
  <c r="J28" i="3"/>
  <c r="P27" i="3"/>
  <c r="O27" i="3"/>
  <c r="O26" i="3"/>
  <c r="J26" i="3"/>
  <c r="O25" i="3"/>
  <c r="J25" i="3"/>
  <c r="E25" i="3"/>
  <c r="C25" i="3"/>
  <c r="O24" i="3"/>
  <c r="J24" i="3"/>
  <c r="E24" i="3"/>
  <c r="O23" i="3"/>
  <c r="J23" i="3"/>
  <c r="D23" i="3"/>
  <c r="O22" i="3"/>
  <c r="P21" i="3"/>
  <c r="O21" i="3"/>
  <c r="J21" i="3"/>
  <c r="B21" i="3"/>
  <c r="O20" i="3"/>
  <c r="J20" i="3"/>
  <c r="E20" i="3"/>
  <c r="D20" i="3"/>
  <c r="C20" i="3"/>
  <c r="O19" i="3"/>
  <c r="J19" i="3"/>
  <c r="O18" i="3"/>
  <c r="J18" i="3"/>
  <c r="O17" i="3"/>
  <c r="E17" i="3"/>
  <c r="E19" i="3" s="1"/>
  <c r="P20" i="3" s="1"/>
  <c r="S16" i="3"/>
  <c r="O16" i="3"/>
  <c r="J16" i="3"/>
  <c r="E16" i="3"/>
  <c r="O15" i="3"/>
  <c r="J15" i="3"/>
  <c r="E15" i="3"/>
  <c r="O14" i="3"/>
  <c r="J14" i="3"/>
  <c r="F14" i="3"/>
  <c r="E14" i="3"/>
  <c r="O13" i="3"/>
  <c r="J13" i="3"/>
  <c r="E13" i="3"/>
  <c r="O12" i="3"/>
  <c r="J12" i="3"/>
  <c r="F12" i="3"/>
  <c r="E12" i="3"/>
  <c r="O11" i="3"/>
  <c r="J11" i="3"/>
  <c r="O10" i="3"/>
  <c r="K10" i="3"/>
  <c r="J10" i="3"/>
  <c r="O9" i="3"/>
  <c r="J9" i="3"/>
  <c r="J8" i="3"/>
  <c r="F8" i="3"/>
  <c r="O7" i="3"/>
  <c r="J7" i="3"/>
  <c r="F7" i="3"/>
  <c r="E7" i="3"/>
  <c r="O6" i="3"/>
  <c r="J6" i="3"/>
  <c r="F6" i="3"/>
  <c r="P5" i="3"/>
  <c r="O5" i="3"/>
  <c r="N5" i="3"/>
  <c r="K5" i="3"/>
  <c r="J5" i="3"/>
  <c r="I5" i="3"/>
  <c r="P4" i="3"/>
  <c r="N4" i="3"/>
  <c r="K4" i="3"/>
  <c r="I4" i="3"/>
  <c r="D3" i="3"/>
  <c r="C3" i="3"/>
  <c r="A15" i="2" s="1"/>
  <c r="B3" i="3"/>
  <c r="A10" i="1" s="1"/>
  <c r="E2" i="3"/>
  <c r="B1" i="3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C10" i="1"/>
  <c r="D24" i="3" l="1"/>
  <c r="E18" i="3"/>
  <c r="K9" i="3" s="1"/>
  <c r="C6" i="11"/>
  <c r="D19" i="11" s="1"/>
  <c r="F6" i="11"/>
  <c r="J22" i="3"/>
  <c r="A14" i="1"/>
  <c r="F18" i="3"/>
  <c r="E28" i="3"/>
  <c r="C11" i="2"/>
  <c r="H2" i="2" s="1"/>
  <c r="H5" i="2" s="1"/>
  <c r="A11" i="2"/>
  <c r="F13" i="3"/>
  <c r="D45" i="3"/>
  <c r="K13" i="3" s="1"/>
  <c r="C22" i="3"/>
  <c r="D22" i="3" s="1"/>
  <c r="C50" i="4"/>
  <c r="C25" i="11"/>
  <c r="D25" i="11"/>
  <c r="B28" i="11"/>
  <c r="C28" i="11"/>
  <c r="D28" i="11"/>
  <c r="B29" i="11"/>
  <c r="C29" i="11"/>
  <c r="D24" i="11"/>
  <c r="B25" i="11"/>
  <c r="F32" i="4"/>
  <c r="K51" i="4" s="1"/>
  <c r="D27" i="3"/>
  <c r="D21" i="3" s="1"/>
  <c r="P33" i="3"/>
  <c r="D28" i="3"/>
  <c r="G54" i="4"/>
  <c r="H35" i="4"/>
  <c r="E10" i="3" s="1"/>
  <c r="K31" i="3" l="1"/>
  <c r="B17" i="11"/>
  <c r="F19" i="11"/>
  <c r="E19" i="11"/>
  <c r="D15" i="11"/>
  <c r="F15" i="11" s="1"/>
  <c r="D20" i="11"/>
  <c r="D16" i="11"/>
  <c r="H1" i="2"/>
  <c r="C26" i="3"/>
  <c r="D26" i="3" s="1"/>
  <c r="F7" i="2"/>
  <c r="F4" i="2"/>
  <c r="E7" i="2"/>
  <c r="D7" i="2"/>
  <c r="D4" i="2"/>
  <c r="B7" i="2"/>
  <c r="B4" i="2"/>
  <c r="D6" i="2"/>
  <c r="C6" i="2"/>
  <c r="C3" i="2"/>
  <c r="B3" i="2"/>
  <c r="F5" i="2"/>
  <c r="B5" i="2"/>
  <c r="E4" i="2"/>
  <c r="D3" i="2"/>
  <c r="C7" i="2"/>
  <c r="C4" i="2"/>
  <c r="F6" i="2"/>
  <c r="F3" i="2"/>
  <c r="E6" i="2"/>
  <c r="E3" i="2"/>
  <c r="B6" i="2"/>
  <c r="E5" i="2"/>
  <c r="D5" i="2"/>
  <c r="C5" i="2"/>
  <c r="P28" i="3"/>
  <c r="P26" i="3" s="1"/>
  <c r="K12" i="3"/>
  <c r="C27" i="3"/>
  <c r="E51" i="4"/>
  <c r="D51" i="4"/>
  <c r="H32" i="4"/>
  <c r="H36" i="4" s="1"/>
  <c r="I51" i="4"/>
  <c r="C51" i="4"/>
  <c r="F9" i="3"/>
  <c r="C8" i="11"/>
  <c r="B18" i="11"/>
  <c r="B27" i="11" s="1"/>
  <c r="K29" i="3"/>
  <c r="H34" i="4" l="1"/>
  <c r="D52" i="4" s="1"/>
  <c r="D43" i="4" s="1"/>
  <c r="E15" i="11"/>
  <c r="C17" i="11"/>
  <c r="D17" i="11" s="1"/>
  <c r="F17" i="11" s="1"/>
  <c r="D26" i="11"/>
  <c r="F16" i="11"/>
  <c r="E16" i="11"/>
  <c r="F20" i="11"/>
  <c r="E20" i="11"/>
  <c r="K6" i="3"/>
  <c r="K7" i="3" s="1"/>
  <c r="K8" i="3" s="1"/>
  <c r="E8" i="3"/>
  <c r="J39" i="4"/>
  <c r="D39" i="4"/>
  <c r="E11" i="3"/>
  <c r="P6" i="3"/>
  <c r="P7" i="3" s="1"/>
  <c r="E17" i="11" l="1"/>
  <c r="I52" i="4"/>
  <c r="J42" i="4" s="1"/>
  <c r="K52" i="4"/>
  <c r="J44" i="4" s="1"/>
  <c r="J51" i="4"/>
  <c r="J52" i="4" s="1"/>
  <c r="J43" i="4" s="1"/>
  <c r="C52" i="4"/>
  <c r="D42" i="4" s="1"/>
  <c r="E52" i="4"/>
  <c r="D44" i="4" s="1"/>
  <c r="E9" i="3"/>
  <c r="J40" i="4"/>
  <c r="H33" i="4"/>
  <c r="G39" i="4" s="1"/>
  <c r="D40" i="4"/>
  <c r="D41" i="4"/>
  <c r="J41" i="4"/>
  <c r="G41" i="4" l="1"/>
  <c r="G40" i="4"/>
  <c r="J45" i="4"/>
  <c r="K45" i="4" s="1"/>
  <c r="D45" i="4"/>
  <c r="E45" i="4" s="1"/>
  <c r="G42" i="4"/>
  <c r="G43" i="4"/>
  <c r="G44" i="4" s="1"/>
  <c r="G29" i="4" s="1"/>
  <c r="G27" i="4"/>
  <c r="G28" i="4" l="1"/>
  <c r="I30" i="4"/>
  <c r="G30" i="4"/>
  <c r="K17" i="3" s="1"/>
  <c r="K18" i="3" s="1"/>
  <c r="C13" i="3" l="1"/>
  <c r="G48" i="4"/>
  <c r="C11" i="11"/>
  <c r="F33" i="3"/>
  <c r="G49" i="4"/>
  <c r="P8" i="3"/>
  <c r="P9" i="3" s="1"/>
  <c r="C18" i="11" l="1"/>
  <c r="C27" i="11"/>
  <c r="C14" i="3"/>
  <c r="G50" i="4"/>
  <c r="P10" i="3" l="1"/>
  <c r="P11" i="3" s="1"/>
  <c r="D18" i="11"/>
  <c r="C9" i="11"/>
  <c r="P15" i="3" l="1"/>
  <c r="K24" i="3"/>
  <c r="F18" i="11"/>
  <c r="C10" i="11"/>
  <c r="E18" i="11"/>
  <c r="K21" i="3" l="1"/>
  <c r="B26" i="11"/>
  <c r="C26" i="11"/>
  <c r="O41" i="3" s="1"/>
  <c r="P12" i="3"/>
  <c r="F35" i="3"/>
  <c r="D27" i="11"/>
  <c r="O40" i="3" l="1"/>
  <c r="K11" i="3"/>
  <c r="K14" i="3" s="1"/>
  <c r="N41" i="3"/>
  <c r="P41" i="3"/>
  <c r="P16" i="3"/>
  <c r="P17" i="3" s="1"/>
  <c r="O42" i="3"/>
  <c r="E27" i="11"/>
  <c r="P40" i="3" l="1"/>
  <c r="N40" i="3"/>
  <c r="C30" i="3"/>
  <c r="K19" i="3"/>
  <c r="K20" i="3" s="1"/>
  <c r="K25" i="3"/>
  <c r="K26" i="3" s="1"/>
  <c r="D30" i="3"/>
  <c r="K15" i="3"/>
  <c r="K16" i="3" s="1"/>
  <c r="K28" i="3"/>
  <c r="D33" i="3" s="1"/>
  <c r="C33" i="3" s="1"/>
  <c r="N42" i="3"/>
  <c r="P42" i="3"/>
  <c r="P18" i="3" s="1"/>
  <c r="J27" i="3" l="1"/>
  <c r="C35" i="3" s="1"/>
  <c r="P19" i="3"/>
  <c r="P22" i="3" s="1"/>
  <c r="P23" i="3" l="1"/>
  <c r="P25" i="3" s="1"/>
  <c r="P31" i="3" l="1"/>
  <c r="F31" i="3"/>
  <c r="P34" i="3" l="1"/>
  <c r="E31" i="3"/>
  <c r="P32" i="3"/>
  <c r="D31" i="3" s="1"/>
  <c r="I1" i="3" s="1"/>
  <c r="O35" i="3" l="1"/>
  <c r="C34" i="3" s="1"/>
  <c r="E32" i="3"/>
  <c r="D32" i="3"/>
  <c r="K1" i="3" s="1"/>
  <c r="F3" i="3" s="1"/>
  <c r="P36" i="3"/>
</calcChain>
</file>

<file path=xl/sharedStrings.xml><?xml version="1.0" encoding="utf-8"?>
<sst xmlns="http://schemas.openxmlformats.org/spreadsheetml/2006/main" count="5586" uniqueCount="898">
  <si>
    <t>航空公司</t>
  </si>
  <si>
    <t>S0129</t>
  </si>
  <si>
    <t>航线</t>
  </si>
  <si>
    <t>Capetown-Shanghai</t>
  </si>
  <si>
    <t>空运航线</t>
  </si>
  <si>
    <t>Melbourne-St.Petersburg</t>
  </si>
  <si>
    <t>Capetown-Melbourne</t>
  </si>
  <si>
    <t>起运港</t>
  </si>
  <si>
    <t>Capetown</t>
  </si>
  <si>
    <t>开普敦</t>
  </si>
  <si>
    <t>South Africa</t>
  </si>
  <si>
    <t>南非</t>
  </si>
  <si>
    <t>目的港</t>
  </si>
  <si>
    <t>Shanghai</t>
  </si>
  <si>
    <t>上海</t>
  </si>
  <si>
    <t>China</t>
  </si>
  <si>
    <t>中国</t>
  </si>
  <si>
    <t>控制下移量</t>
  </si>
  <si>
    <t>Melbourne</t>
  </si>
  <si>
    <t>墨尔本</t>
  </si>
  <si>
    <t>Australia</t>
  </si>
  <si>
    <t>澳大利亚</t>
  </si>
  <si>
    <t>运费 (USD)</t>
  </si>
  <si>
    <t>Minimum</t>
  </si>
  <si>
    <t>Normal</t>
  </si>
  <si>
    <t>45kgs</t>
  </si>
  <si>
    <t>100kgs</t>
  </si>
  <si>
    <t>300kgs</t>
  </si>
  <si>
    <t>500kgs</t>
  </si>
  <si>
    <t>1000kgs</t>
  </si>
  <si>
    <t>--</t>
  </si>
  <si>
    <t>时间(时)</t>
  </si>
  <si>
    <t>出口国：</t>
  </si>
  <si>
    <t>S0123</t>
  </si>
  <si>
    <t>Hamburg-Melbourne</t>
  </si>
  <si>
    <t>Hamburg</t>
  </si>
  <si>
    <t>汉堡</t>
  </si>
  <si>
    <t>Germany</t>
  </si>
  <si>
    <t>德国</t>
  </si>
  <si>
    <t>进口国：</t>
  </si>
  <si>
    <t>S0124</t>
  </si>
  <si>
    <t>Liverpool-Melbourne</t>
  </si>
  <si>
    <t>Liverpool</t>
  </si>
  <si>
    <t>利物浦</t>
  </si>
  <si>
    <t>UK</t>
  </si>
  <si>
    <t>英国</t>
  </si>
  <si>
    <t>S0126</t>
  </si>
  <si>
    <t>Melbourne-Shanghai</t>
  </si>
  <si>
    <t>Melbourne-Nagoya</t>
  </si>
  <si>
    <t>Nagoya</t>
  </si>
  <si>
    <t>名古屋</t>
  </si>
  <si>
    <t>Japan</t>
  </si>
  <si>
    <t>日本</t>
  </si>
  <si>
    <t>St.Petersburg</t>
  </si>
  <si>
    <t>圣彼得堡</t>
  </si>
  <si>
    <t>Russia</t>
  </si>
  <si>
    <t>俄罗斯</t>
  </si>
  <si>
    <t>Melbourne-Liverpool</t>
  </si>
  <si>
    <t>Melbourne-Hamburg</t>
  </si>
  <si>
    <t>Melbourne-Capetown</t>
  </si>
  <si>
    <t>Melbourne-New York</t>
  </si>
  <si>
    <t>New York</t>
  </si>
  <si>
    <t>纽约</t>
  </si>
  <si>
    <t>America</t>
  </si>
  <si>
    <t>美国</t>
  </si>
  <si>
    <t>Melbourne-Santiagos</t>
  </si>
  <si>
    <t>Santiagos</t>
  </si>
  <si>
    <t>圣地亚哥</t>
  </si>
  <si>
    <t>Cuba</t>
  </si>
  <si>
    <t>古巴</t>
  </si>
  <si>
    <t>Melbourne-Rio De Janeiro</t>
  </si>
  <si>
    <t>Rio De Janeiro</t>
  </si>
  <si>
    <t>里约热内卢</t>
  </si>
  <si>
    <t>Brazil</t>
  </si>
  <si>
    <t>巴西</t>
  </si>
  <si>
    <t>S0121</t>
  </si>
  <si>
    <t>Nagoya-Melbourne</t>
  </si>
  <si>
    <t>S0127</t>
  </si>
  <si>
    <t>New York-Melbourne</t>
  </si>
  <si>
    <t>S0125</t>
  </si>
  <si>
    <t>Rio De Janeiro-Melbourne</t>
  </si>
  <si>
    <t>S0128</t>
  </si>
  <si>
    <t>Santiagos-Melbourne</t>
  </si>
  <si>
    <t>S0120</t>
  </si>
  <si>
    <t>Shanghai-Melbourne</t>
  </si>
  <si>
    <t>S0122</t>
  </si>
  <si>
    <t>St.Petersburg-Melbourne</t>
  </si>
  <si>
    <t>运费</t>
  </si>
  <si>
    <t>20'</t>
  </si>
  <si>
    <t>40'</t>
  </si>
  <si>
    <t>40'高</t>
  </si>
  <si>
    <t>散LCL</t>
  </si>
  <si>
    <t>船公司</t>
  </si>
  <si>
    <t>S0119</t>
  </si>
  <si>
    <t>M(MTQ)</t>
  </si>
  <si>
    <t>W(TNE)</t>
  </si>
  <si>
    <t>海运航线</t>
  </si>
  <si>
    <t>通用干货箱 (USD)</t>
  </si>
  <si>
    <t>冷藏集装箱 (USD)</t>
  </si>
  <si>
    <t>平台集装箱</t>
  </si>
  <si>
    <t>汽车集装箱</t>
  </si>
  <si>
    <t>起运国</t>
  </si>
  <si>
    <t>目的国</t>
  </si>
  <si>
    <t>单层  0.00</t>
  </si>
  <si>
    <t>双层  0.00</t>
  </si>
  <si>
    <t>S0113</t>
  </si>
  <si>
    <t>S0114</t>
  </si>
  <si>
    <t>S0116</t>
  </si>
  <si>
    <t>S0111</t>
  </si>
  <si>
    <t>S0117</t>
  </si>
  <si>
    <t>S0115</t>
  </si>
  <si>
    <t>S0118</t>
  </si>
  <si>
    <t>S0110</t>
  </si>
  <si>
    <t>S0112</t>
  </si>
  <si>
    <t>进出口总成本</t>
  </si>
  <si>
    <t>进出口总盈额</t>
  </si>
  <si>
    <t>航线/航时</t>
  </si>
  <si>
    <t>总利润</t>
  </si>
  <si>
    <t>出口预算表</t>
  </si>
  <si>
    <t>进口预算表</t>
  </si>
  <si>
    <t>有关项目</t>
  </si>
  <si>
    <t>预算费用</t>
  </si>
  <si>
    <t>币种</t>
  </si>
  <si>
    <t>金额</t>
  </si>
  <si>
    <t>标号</t>
  </si>
  <si>
    <t>预算项目</t>
  </si>
  <si>
    <t>汇率</t>
  </si>
  <si>
    <t>USD</t>
  </si>
  <si>
    <t>出口商本币</t>
  </si>
  <si>
    <t>商品编号</t>
  </si>
  <si>
    <t>成本栏</t>
  </si>
  <si>
    <t>收购价（含税进货价款）</t>
  </si>
  <si>
    <t>FOB /FCA成交价：</t>
  </si>
  <si>
    <t>进口商本币</t>
  </si>
  <si>
    <t>RMB</t>
  </si>
  <si>
    <t>货名</t>
  </si>
  <si>
    <t>出口退税收入</t>
  </si>
  <si>
    <t>合同货币</t>
  </si>
  <si>
    <t>包装数量</t>
  </si>
  <si>
    <t>A.实际采购成本</t>
  </si>
  <si>
    <t>国外运费：</t>
  </si>
  <si>
    <t>交易术语</t>
  </si>
  <si>
    <t>FCA</t>
  </si>
  <si>
    <t>总毛重KGS</t>
  </si>
  <si>
    <t>费用</t>
  </si>
  <si>
    <t>·商检费</t>
  </si>
  <si>
    <t>结算方式</t>
  </si>
  <si>
    <t>L/C</t>
  </si>
  <si>
    <t>总净重KGS</t>
  </si>
  <si>
    <t>交易数量</t>
  </si>
  <si>
    <t>·报关费</t>
  </si>
  <si>
    <t>（CFR/CPT）成交价：</t>
  </si>
  <si>
    <t>提货条件</t>
  </si>
  <si>
    <t>AT 30 DAYS AFTER SIGHT</t>
  </si>
  <si>
    <t>总体积CBM</t>
  </si>
  <si>
    <t>·出口税</t>
  </si>
  <si>
    <t>运输方式</t>
  </si>
  <si>
    <t>空运</t>
  </si>
  <si>
    <t>进口税</t>
  </si>
  <si>
    <t>·银行费用</t>
  </si>
  <si>
    <t>国外保费I</t>
  </si>
  <si>
    <t>集装箱类型</t>
  </si>
  <si>
    <t>出口税</t>
  </si>
  <si>
    <t>·其他</t>
  </si>
  <si>
    <t>·总保费率‰</t>
  </si>
  <si>
    <t>集装箱需求数</t>
  </si>
  <si>
    <t>增值税</t>
  </si>
  <si>
    <t>B.国内费用</t>
  </si>
  <si>
    <t>·投保加成</t>
  </si>
  <si>
    <t>投保加成</t>
  </si>
  <si>
    <t>消费税</t>
  </si>
  <si>
    <t>出口总成本C    (FOB/FCA成本)</t>
  </si>
  <si>
    <t>·投保金额</t>
  </si>
  <si>
    <t>投保项目：</t>
  </si>
  <si>
    <t>航空运输一切险</t>
  </si>
  <si>
    <t>退税</t>
  </si>
  <si>
    <t>（CIF/CIP）成交价：</t>
  </si>
  <si>
    <t>战争险</t>
  </si>
  <si>
    <t>监管条件</t>
  </si>
  <si>
    <t>出口运费F</t>
  </si>
  <si>
    <t>罢工险</t>
  </si>
  <si>
    <t>出口报检</t>
  </si>
  <si>
    <t>进口关税</t>
  </si>
  <si>
    <t>总保费率‰</t>
  </si>
  <si>
    <t>进口报检</t>
  </si>
  <si>
    <t>CFR/CPT成本</t>
  </si>
  <si>
    <t>完税成本：</t>
  </si>
  <si>
    <t>出口保费I</t>
  </si>
  <si>
    <t>出口商工厂单价</t>
  </si>
  <si>
    <t>·消费税</t>
  </si>
  <si>
    <t>出口预估单价</t>
  </si>
  <si>
    <t>·增值税</t>
  </si>
  <si>
    <t>进口商市场单价</t>
  </si>
  <si>
    <t>·其  他</t>
  </si>
  <si>
    <t>日产量</t>
  </si>
  <si>
    <t>CIF/CIP成本（=C+F+I）</t>
  </si>
  <si>
    <t>国内费用</t>
  </si>
  <si>
    <t>出口商采购总价</t>
  </si>
  <si>
    <t>银行费用</t>
  </si>
  <si>
    <t>合同金额</t>
  </si>
  <si>
    <t>报价栏</t>
  </si>
  <si>
    <t>预期盈亏率</t>
  </si>
  <si>
    <t>·信用证开证费用</t>
  </si>
  <si>
    <t>进口商销货总价</t>
  </si>
  <si>
    <t>盈亏额</t>
  </si>
  <si>
    <t>·信用证付款手续费</t>
  </si>
  <si>
    <t>对外报价（FOB/FCA）</t>
  </si>
  <si>
    <t>·D/A、D/P付款手续费</t>
  </si>
  <si>
    <t>出口总成本</t>
  </si>
  <si>
    <t>进口商税费USD</t>
  </si>
  <si>
    <t>对外报价（CFR/CPT）</t>
  </si>
  <si>
    <t>·T/T付款手续费</t>
  </si>
  <si>
    <t>进口总成本</t>
  </si>
  <si>
    <t>对外报价 (CIF/CIP)</t>
  </si>
  <si>
    <t>总成本：(=7+8+9)</t>
  </si>
  <si>
    <t>进口商盈亏额</t>
  </si>
  <si>
    <t>运费USD</t>
  </si>
  <si>
    <t>X</t>
  </si>
  <si>
    <t>出口商盈亏额</t>
  </si>
  <si>
    <t>国内市场销货收入</t>
  </si>
  <si>
    <t>进口商盈亏率</t>
  </si>
  <si>
    <t>保费USD</t>
  </si>
  <si>
    <t>（预期）盈亏额</t>
  </si>
  <si>
    <t>出口商盈亏率</t>
  </si>
  <si>
    <t>澳大利亚航时表</t>
  </si>
  <si>
    <t>检验检疫证书</t>
  </si>
  <si>
    <t>海运</t>
  </si>
  <si>
    <t>预期盈亏额</t>
  </si>
  <si>
    <t>名称</t>
  </si>
  <si>
    <t>数量</t>
  </si>
  <si>
    <t>18</t>
  </si>
  <si>
    <t>品质证书</t>
  </si>
  <si>
    <t>重量证书/数量证书</t>
  </si>
  <si>
    <t>总价</t>
  </si>
  <si>
    <t>健康证书</t>
  </si>
  <si>
    <t>（FOB/FCA）</t>
  </si>
  <si>
    <t>植物检疫证书</t>
  </si>
  <si>
    <t>（CFR/CPT）</t>
  </si>
  <si>
    <t>（CIF/CIP）</t>
  </si>
  <si>
    <t>货物运输条件鉴定书</t>
  </si>
  <si>
    <r>
      <rPr>
        <sz val="11"/>
        <color rgb="FF000000"/>
        <rFont val="等线"/>
        <family val="3"/>
        <charset val="134"/>
      </rPr>
      <t>DHL</t>
    </r>
    <r>
      <rPr>
        <b/>
        <sz val="11"/>
        <color rgb="FF000000"/>
        <rFont val="等线"/>
        <family val="3"/>
        <charset val="134"/>
      </rPr>
      <t>寄单</t>
    </r>
  </si>
  <si>
    <t>其他费用合计</t>
  </si>
  <si>
    <t>使用说明</t>
  </si>
  <si>
    <r>
      <rPr>
        <b/>
        <sz val="14"/>
        <color rgb="FF000000"/>
        <rFont val="黑体"/>
        <family val="3"/>
        <charset val="134"/>
      </rPr>
      <t>1、把航班信息复制进“</t>
    </r>
    <r>
      <rPr>
        <b/>
        <sz val="14"/>
        <color rgb="FFFFFFFF"/>
        <rFont val="黑体"/>
        <family val="3"/>
        <charset val="134"/>
      </rPr>
      <t>运费</t>
    </r>
    <r>
      <rPr>
        <b/>
        <sz val="14"/>
        <color rgb="FF000000"/>
        <rFont val="黑体"/>
        <family val="3"/>
        <charset val="134"/>
      </rPr>
      <t>”表</t>
    </r>
  </si>
  <si>
    <r>
      <rPr>
        <b/>
        <sz val="14"/>
        <color rgb="FF000000"/>
        <rFont val="黑体"/>
        <family val="3"/>
        <charset val="134"/>
      </rPr>
      <t>2、把商品信息和HS信息复制进“</t>
    </r>
    <r>
      <rPr>
        <b/>
        <sz val="14"/>
        <color rgb="FFFFFFFF"/>
        <rFont val="黑体"/>
        <family val="3"/>
        <charset val="134"/>
      </rPr>
      <t>商品信息</t>
    </r>
    <r>
      <rPr>
        <b/>
        <sz val="14"/>
        <color rgb="FF000000"/>
        <rFont val="黑体"/>
        <family val="3"/>
        <charset val="134"/>
      </rPr>
      <t>”表，并在上方</t>
    </r>
    <r>
      <rPr>
        <b/>
        <sz val="14"/>
        <color rgb="FFFFFFFF"/>
        <rFont val="黑体"/>
        <family val="3"/>
        <charset val="134"/>
      </rPr>
      <t>红框</t>
    </r>
    <r>
      <rPr>
        <b/>
        <sz val="14"/>
        <color rgb="FF000000"/>
        <rFont val="黑体"/>
        <family val="3"/>
        <charset val="134"/>
      </rPr>
      <t>手动下拉选择商品编号，与右侧编号一致</t>
    </r>
  </si>
  <si>
    <r>
      <rPr>
        <b/>
        <sz val="14"/>
        <color rgb="FF000000"/>
        <rFont val="黑体"/>
        <family val="3"/>
        <charset val="134"/>
      </rPr>
      <t>3、在</t>
    </r>
    <r>
      <rPr>
        <b/>
        <sz val="14"/>
        <color rgb="FFFFFFFF"/>
        <rFont val="黑体"/>
        <family val="3"/>
        <charset val="134"/>
      </rPr>
      <t>绿色框</t>
    </r>
    <r>
      <rPr>
        <b/>
        <sz val="14"/>
        <color rgb="FF000000"/>
        <rFont val="黑体"/>
        <family val="3"/>
        <charset val="134"/>
      </rPr>
      <t>中下拉选择各类合同信息</t>
    </r>
  </si>
  <si>
    <r>
      <rPr>
        <b/>
        <sz val="14"/>
        <color rgb="FF000000"/>
        <rFont val="黑体"/>
        <family val="3"/>
        <charset val="134"/>
      </rPr>
      <t>4、在</t>
    </r>
    <r>
      <rPr>
        <b/>
        <sz val="14"/>
        <color rgb="FFFFFFFF"/>
        <rFont val="黑体"/>
        <family val="3"/>
        <charset val="134"/>
      </rPr>
      <t>黄色框</t>
    </r>
    <r>
      <rPr>
        <b/>
        <sz val="14"/>
        <color rgb="FF000000"/>
        <rFont val="黑体"/>
        <family val="3"/>
        <charset val="134"/>
      </rPr>
      <t>中手动输入商品相关价格</t>
    </r>
  </si>
  <si>
    <r>
      <rPr>
        <b/>
        <sz val="14"/>
        <color rgb="FF000000"/>
        <rFont val="黑体"/>
        <family val="3"/>
        <charset val="134"/>
      </rPr>
      <t>5、在</t>
    </r>
    <r>
      <rPr>
        <b/>
        <sz val="14"/>
        <color rgb="FFFFFFFF"/>
        <rFont val="黑体"/>
        <family val="3"/>
        <charset val="134"/>
      </rPr>
      <t>蓝色框</t>
    </r>
    <r>
      <rPr>
        <b/>
        <sz val="14"/>
        <color rgb="FF000000"/>
        <rFont val="黑体"/>
        <family val="3"/>
        <charset val="134"/>
      </rPr>
      <t>中手动填写合同所需单证</t>
    </r>
  </si>
  <si>
    <t>6、除了上述5项信息需要录入，其他白色框内的数据和信息为联动信息，可直接采用，不需更改</t>
  </si>
  <si>
    <t>7、做表不易，使用时请细心，不要因为粗心导致预算出错</t>
  </si>
  <si>
    <t>8、确定录入的信息没有问题的情况下预算仍出现问题，请联系学长继续更改。QQ：2077574378</t>
  </si>
  <si>
    <t>将航班信息复制进绿色框内</t>
  </si>
  <si>
    <t>海运普通</t>
  </si>
  <si>
    <t>海运冷藏</t>
  </si>
  <si>
    <t>最终运费</t>
  </si>
  <si>
    <t>销售数量</t>
  </si>
  <si>
    <t>包装箱量</t>
  </si>
  <si>
    <t>包装单位比</t>
  </si>
  <si>
    <t>空运重量</t>
  </si>
  <si>
    <t>包装单位毛重</t>
  </si>
  <si>
    <t>总毛重</t>
  </si>
  <si>
    <t>包装单位净重</t>
  </si>
  <si>
    <t>总净重</t>
  </si>
  <si>
    <t>包装单位体积</t>
  </si>
  <si>
    <t>总体积</t>
  </si>
  <si>
    <t>普通柜</t>
  </si>
  <si>
    <t>冻柜</t>
  </si>
  <si>
    <t>LCL（MTQ）总价</t>
  </si>
  <si>
    <t>最小空运费</t>
  </si>
  <si>
    <t>LCL（TNE）总价</t>
  </si>
  <si>
    <t>小于45</t>
  </si>
  <si>
    <t>拼箱运费</t>
  </si>
  <si>
    <t>45-100</t>
  </si>
  <si>
    <t>冻柜拼箱运费</t>
  </si>
  <si>
    <t>20'普柜总价</t>
  </si>
  <si>
    <t>100-300</t>
  </si>
  <si>
    <t>20'冻柜总价</t>
  </si>
  <si>
    <t>40'普柜总价</t>
  </si>
  <si>
    <t>300以上</t>
  </si>
  <si>
    <t>40'冻柜总价</t>
  </si>
  <si>
    <t>40'高柜总价</t>
  </si>
  <si>
    <t>空运费</t>
  </si>
  <si>
    <t>40'高冻柜总价</t>
  </si>
  <si>
    <t>海运费</t>
  </si>
  <si>
    <t>冻柜海运费</t>
  </si>
  <si>
    <t>20’普柜</t>
  </si>
  <si>
    <t>40’普柜</t>
  </si>
  <si>
    <t>40’高柜</t>
  </si>
  <si>
    <t>20’冻柜</t>
  </si>
  <si>
    <t>40’冻柜</t>
  </si>
  <si>
    <t>40’高冻柜</t>
  </si>
  <si>
    <t>有效容积（CBM)</t>
  </si>
  <si>
    <t>限重(TNE)</t>
  </si>
  <si>
    <t>最大可装箱</t>
  </si>
  <si>
    <t>装箱比</t>
  </si>
  <si>
    <t>单位换算</t>
  </si>
  <si>
    <t>商品编号：</t>
  </si>
  <si>
    <t>部分以0开头的商品无法正常显示第一个0，注意看好编号位数，商品编号都为五位数。</t>
  </si>
  <si>
    <t>商品名称(中文)：</t>
  </si>
  <si>
    <t>红宝石黄金戒指</t>
  </si>
  <si>
    <t>商品名称(英文)：</t>
  </si>
  <si>
    <t>化工：</t>
  </si>
  <si>
    <t>21001（磺胺氯哒嗪钠）、40001（7号电池）、40002（锂电池）、06002</t>
  </si>
  <si>
    <t>规格型号(中文)：</t>
  </si>
  <si>
    <t>规格型号(英文)：</t>
  </si>
  <si>
    <t>商品属类：</t>
  </si>
  <si>
    <t>H.S.编码：</t>
  </si>
  <si>
    <t>销售单位：</t>
  </si>
  <si>
    <t>包装单位/包装种类：</t>
  </si>
  <si>
    <t>CARTON（纸箱）</t>
  </si>
  <si>
    <t>单位换算：</t>
  </si>
  <si>
    <t>毛重(KG)/包装单位：</t>
  </si>
  <si>
    <t>净重(KG)/包装单位：</t>
  </si>
  <si>
    <t>体积(CBM)/包装单位：</t>
  </si>
  <si>
    <t>运输方式：</t>
  </si>
  <si>
    <t>集装箱种类：</t>
  </si>
  <si>
    <t>普通</t>
  </si>
  <si>
    <t>备注：</t>
  </si>
  <si>
    <t>海关编码</t>
  </si>
  <si>
    <t>进口税(%)</t>
  </si>
  <si>
    <t>出口税(%)</t>
  </si>
  <si>
    <t>增值税(%)</t>
  </si>
  <si>
    <t>退税(%)</t>
  </si>
  <si>
    <t>单位</t>
  </si>
  <si>
    <t>优惠</t>
  </si>
  <si>
    <t>从量</t>
  </si>
  <si>
    <t>从价(%)</t>
  </si>
  <si>
    <t>庭院用伞及类似品</t>
  </si>
  <si>
    <t>千克(把)</t>
  </si>
  <si>
    <t>澳大利亚汇率</t>
  </si>
  <si>
    <t>英国汇率</t>
  </si>
  <si>
    <t>俄罗斯汇率</t>
  </si>
  <si>
    <t>AUD</t>
  </si>
  <si>
    <t>澳大利亚元</t>
  </si>
  <si>
    <t>GBP</t>
  </si>
  <si>
    <t>英镑</t>
  </si>
  <si>
    <t>RUB</t>
  </si>
  <si>
    <t>卢布</t>
  </si>
  <si>
    <t>BRL</t>
  </si>
  <si>
    <t>巴西里尔</t>
  </si>
  <si>
    <t>CUP</t>
  </si>
  <si>
    <t>古巴比索</t>
  </si>
  <si>
    <t>EUR</t>
  </si>
  <si>
    <t>欧元</t>
  </si>
  <si>
    <t>JPY</t>
  </si>
  <si>
    <t>日元</t>
  </si>
  <si>
    <t>人民币</t>
  </si>
  <si>
    <t>美元</t>
  </si>
  <si>
    <t>ZAR</t>
  </si>
  <si>
    <t>南非兰特</t>
  </si>
  <si>
    <t>巴西汇率</t>
  </si>
  <si>
    <t>日本汇率</t>
  </si>
  <si>
    <t>美元汇率</t>
  </si>
  <si>
    <t>古巴汇率</t>
  </si>
  <si>
    <t>中国汇率</t>
  </si>
  <si>
    <t>南非汇率</t>
  </si>
  <si>
    <t>德国汇率</t>
  </si>
  <si>
    <t>美国汇率</t>
  </si>
  <si>
    <t>编号</t>
  </si>
  <si>
    <t>01001</t>
  </si>
  <si>
    <t>洋菇罐头(整粒)</t>
  </si>
  <si>
    <t> CARTON</t>
  </si>
  <si>
    <t>01002</t>
  </si>
  <si>
    <t>豪门伯爵茶</t>
  </si>
  <si>
    <t> TIN</t>
  </si>
  <si>
    <t>01003</t>
  </si>
  <si>
    <t>英国早餐茶</t>
  </si>
  <si>
    <t>01004</t>
  </si>
  <si>
    <t>茉莉绿茶</t>
  </si>
  <si>
    <t> BOX</t>
  </si>
  <si>
    <t>01005</t>
  </si>
  <si>
    <t>玉米笋罐头</t>
  </si>
  <si>
    <t>01006</t>
  </si>
  <si>
    <t>荔枝罐头</t>
  </si>
  <si>
    <t>01007</t>
  </si>
  <si>
    <t>龙眼罐头</t>
  </si>
  <si>
    <t>01008</t>
  </si>
  <si>
    <t>芒果罐头</t>
  </si>
  <si>
    <t>01009</t>
  </si>
  <si>
    <t>三年陈酿白葡萄酒</t>
  </si>
  <si>
    <t> BOTTLE</t>
  </si>
  <si>
    <t>01010</t>
  </si>
  <si>
    <t>七年陈酿红葡萄酒</t>
  </si>
  <si>
    <t>01011</t>
  </si>
  <si>
    <t>番茄酱罐头</t>
  </si>
  <si>
    <t>01012</t>
  </si>
  <si>
    <t>矿泉水</t>
  </si>
  <si>
    <t>01013</t>
  </si>
  <si>
    <t>天然蜂蜜</t>
  </si>
  <si>
    <t> DRUM</t>
  </si>
  <si>
    <t>01014</t>
  </si>
  <si>
    <t>金枪鱼罐头</t>
  </si>
  <si>
    <t>01015</t>
  </si>
  <si>
    <t>沙丁鱼罐头</t>
  </si>
  <si>
    <t>01016</t>
  </si>
  <si>
    <t>新鲜甘蔗汁</t>
  </si>
  <si>
    <t>01017</t>
  </si>
  <si>
    <t>成人奶粉</t>
  </si>
  <si>
    <t>01018</t>
  </si>
  <si>
    <t>巧克力</t>
  </si>
  <si>
    <t>01019</t>
  </si>
  <si>
    <t>巧克力饼干</t>
  </si>
  <si>
    <t> BAG</t>
  </si>
  <si>
    <t>01020</t>
  </si>
  <si>
    <t>黄油饼干</t>
  </si>
  <si>
    <t>01021</t>
  </si>
  <si>
    <t>牛奶</t>
  </si>
  <si>
    <t>02001</t>
  </si>
  <si>
    <t>男式睡衣</t>
  </si>
  <si>
    <t> SET</t>
  </si>
  <si>
    <t>02002</t>
  </si>
  <si>
    <t>男式T恤衫</t>
  </si>
  <si>
    <t> PC</t>
  </si>
  <si>
    <t>02003</t>
  </si>
  <si>
    <t>棉制针织女童套头衫</t>
  </si>
  <si>
    <t>02004</t>
  </si>
  <si>
    <t>女式开襟羊毛衫</t>
  </si>
  <si>
    <t>02005</t>
  </si>
  <si>
    <t>女式睡衣</t>
  </si>
  <si>
    <t>02010</t>
  </si>
  <si>
    <t>男式开襟羊毛衫</t>
  </si>
  <si>
    <t>02011</t>
  </si>
  <si>
    <t>舞裙</t>
  </si>
  <si>
    <t>02012</t>
  </si>
  <si>
    <t>连衣裤</t>
  </si>
  <si>
    <t>02013</t>
  </si>
  <si>
    <t>羊毛方巾</t>
  </si>
  <si>
    <t>02014</t>
  </si>
  <si>
    <t>女士和服</t>
  </si>
  <si>
    <t>02015</t>
  </si>
  <si>
    <t>男士牛仔裤</t>
  </si>
  <si>
    <t>03001</t>
  </si>
  <si>
    <t>落地电子钟</t>
  </si>
  <si>
    <t>04001</t>
  </si>
  <si>
    <t>木制茶具</t>
  </si>
  <si>
    <t>04002</t>
  </si>
  <si>
    <t>木雕-面具</t>
  </si>
  <si>
    <t>04003</t>
  </si>
  <si>
    <t>木雕-娃娃</t>
  </si>
  <si>
    <t>04004</t>
  </si>
  <si>
    <t>木雕-少女</t>
  </si>
  <si>
    <t>04005</t>
  </si>
  <si>
    <t>木雕-头像</t>
  </si>
  <si>
    <t>04006</t>
  </si>
  <si>
    <t>中式木雕壁挂</t>
  </si>
  <si>
    <t>04010</t>
  </si>
  <si>
    <t>木雕工艺品</t>
  </si>
  <si>
    <t>04011</t>
  </si>
  <si>
    <t>俄罗斯套娃</t>
  </si>
  <si>
    <t>05002</t>
  </si>
  <si>
    <t>手锯</t>
  </si>
  <si>
    <t>05003</t>
  </si>
  <si>
    <t>餐刀</t>
  </si>
  <si>
    <t>05006</t>
  </si>
  <si>
    <t>刮胡刀</t>
  </si>
  <si>
    <t>05010</t>
  </si>
  <si>
    <t>开瓶器</t>
  </si>
  <si>
    <t>05011</t>
  </si>
  <si>
    <t>两用扳手</t>
  </si>
  <si>
    <t>05012</t>
  </si>
  <si>
    <t>轴承</t>
  </si>
  <si>
    <t>05013</t>
  </si>
  <si>
    <t>切格瓦拉烟盒</t>
  </si>
  <si>
    <t>06001</t>
  </si>
  <si>
    <t>香薰蜡烛</t>
  </si>
  <si>
    <t>06002</t>
  </si>
  <si>
    <t>环保涂料</t>
  </si>
  <si>
    <t>07010</t>
  </si>
  <si>
    <t>床头灯</t>
  </si>
  <si>
    <t>08001</t>
  </si>
  <si>
    <t>儿童踏板车</t>
  </si>
  <si>
    <t> UNIT</t>
  </si>
  <si>
    <t>08002</t>
  </si>
  <si>
    <t>长毛绒熊猫</t>
  </si>
  <si>
    <t>08003</t>
  </si>
  <si>
    <t>玩具娃娃</t>
  </si>
  <si>
    <t>08007</t>
  </si>
  <si>
    <t>儿童学步车</t>
  </si>
  <si>
    <t>08008</t>
  </si>
  <si>
    <t>婴儿推车</t>
  </si>
  <si>
    <t>08009</t>
  </si>
  <si>
    <t>袋鼠玩偶</t>
  </si>
  <si>
    <t>08010</t>
  </si>
  <si>
    <t>电子琴玩具</t>
  </si>
  <si>
    <t>08011</t>
  </si>
  <si>
    <t>排球</t>
  </si>
  <si>
    <t>09001</t>
  </si>
  <si>
    <t>太阳眼镜</t>
  </si>
  <si>
    <t>09006</t>
  </si>
  <si>
    <t>潜水用眼镜</t>
  </si>
  <si>
    <t>09007</t>
  </si>
  <si>
    <t>夜视望远镜</t>
  </si>
  <si>
    <t>09008</t>
  </si>
  <si>
    <t>心电图机</t>
  </si>
  <si>
    <t>口红</t>
  </si>
  <si>
    <t>睫毛膏</t>
  </si>
  <si>
    <t>香水</t>
  </si>
  <si>
    <t>眼影</t>
  </si>
  <si>
    <t>眉笔</t>
  </si>
  <si>
    <t>液体唇彩</t>
  </si>
  <si>
    <t>散粉</t>
  </si>
  <si>
    <t>指甲油</t>
  </si>
  <si>
    <t>假发</t>
  </si>
  <si>
    <t>4寸2路喇叭</t>
  </si>
  <si>
    <t>6x9寸4路喇叭</t>
  </si>
  <si>
    <t>青花瓷餐具套装</t>
  </si>
  <si>
    <t>骨瓷餐具套装</t>
  </si>
  <si>
    <t>西式骨瓷午茶组</t>
  </si>
  <si>
    <t>7头茶具</t>
  </si>
  <si>
    <t>10寸鱼盘</t>
  </si>
  <si>
    <t>7寸圆盘</t>
  </si>
  <si>
    <t>瓷碟</t>
  </si>
  <si>
    <t>汤匙</t>
  </si>
  <si>
    <t>瓷杯</t>
  </si>
  <si>
    <t>折叠伞BLA5508</t>
  </si>
  <si>
    <t>沙滩太阳伞501A</t>
  </si>
  <si>
    <t>香皂</t>
  </si>
  <si>
    <t>洗衣液</t>
  </si>
  <si>
    <t>洗手液</t>
  </si>
  <si>
    <t>手提包</t>
  </si>
  <si>
    <t>双肩背包</t>
  </si>
  <si>
    <t>时尚单肩包</t>
  </si>
  <si>
    <t>化妆包</t>
  </si>
  <si>
    <t>公文包</t>
  </si>
  <si>
    <t>钱包</t>
  </si>
  <si>
    <t>旅行包</t>
  </si>
  <si>
    <t>竹碗</t>
  </si>
  <si>
    <t>竹帘</t>
  </si>
  <si>
    <t>竹杯垫</t>
  </si>
  <si>
    <t>床单</t>
  </si>
  <si>
    <t>手工地毯</t>
  </si>
  <si>
    <t>浴巾</t>
  </si>
  <si>
    <t>沙滩巾</t>
  </si>
  <si>
    <t>遮阳篷</t>
  </si>
  <si>
    <t>睡袋</t>
  </si>
  <si>
    <t>充气垫</t>
  </si>
  <si>
    <t>男士商务皮鞋</t>
  </si>
  <si>
    <t> PAIR</t>
  </si>
  <si>
    <t>女士皮凉鞋</t>
  </si>
  <si>
    <t>真皮宝宝鞋</t>
  </si>
  <si>
    <t>羊皮女靴</t>
  </si>
  <si>
    <t>一乙醇胺</t>
  </si>
  <si>
    <t>对苯二甲酸二甲酯</t>
  </si>
  <si>
    <t>1,1,1-三羟甲基丙烷</t>
  </si>
  <si>
    <t>磺胺氯哒嗪钠</t>
  </si>
  <si>
    <t>单体速冻黑加仑</t>
  </si>
  <si>
    <t> MT</t>
  </si>
  <si>
    <t>速冻绿色哈密瓜球</t>
  </si>
  <si>
    <t>速冻黄桃</t>
  </si>
  <si>
    <t>速冻草莓</t>
  </si>
  <si>
    <t>速冻青椒</t>
  </si>
  <si>
    <t>速冻西兰花</t>
  </si>
  <si>
    <t>速冻红椒丁</t>
  </si>
  <si>
    <t>冷冻牛肉</t>
  </si>
  <si>
    <t>原蔗糖</t>
  </si>
  <si>
    <t>巴西咖啡(全咖啡豆,肉桂烘焙)</t>
  </si>
  <si>
    <t>巴西咖啡(全咖啡豆,城市烘焙)</t>
  </si>
  <si>
    <t>巴西咖啡(全咖啡豆,意式烘焙)</t>
  </si>
  <si>
    <t>优质巴西黄豆</t>
  </si>
  <si>
    <t>标准白小麦</t>
  </si>
  <si>
    <t>优质硬白麦</t>
  </si>
  <si>
    <t>优质杜伦麦</t>
  </si>
  <si>
    <t>黄玉米</t>
  </si>
  <si>
    <t>优质巴西黑豆</t>
  </si>
  <si>
    <t>日本大米</t>
  </si>
  <si>
    <t>纪念版雪茄</t>
  </si>
  <si>
    <t>限量版雪茄</t>
  </si>
  <si>
    <t>珍藏版雪茄</t>
  </si>
  <si>
    <t>订制版雪茄</t>
  </si>
  <si>
    <t>24K黄金戒指</t>
  </si>
  <si>
    <t>24K黄金项链</t>
  </si>
  <si>
    <t>24K黄金摆件</t>
  </si>
  <si>
    <t>18K白金吊坠</t>
  </si>
  <si>
    <t>18K白金耳环</t>
  </si>
  <si>
    <t>18K吊坠项链</t>
  </si>
  <si>
    <t>18K金嵌宝石手链</t>
  </si>
  <si>
    <t>925银戒指</t>
  </si>
  <si>
    <t>宝宝银手镯</t>
  </si>
  <si>
    <t>925纯银耳环</t>
  </si>
  <si>
    <t>绿松石手镯</t>
  </si>
  <si>
    <t>纯银吊坠</t>
  </si>
  <si>
    <t>蓝宝石黄金戒指</t>
  </si>
  <si>
    <t>14K黄金皮带扣</t>
  </si>
  <si>
    <t>14K白金钻戒</t>
  </si>
  <si>
    <t>镶绿松石纯银项链</t>
  </si>
  <si>
    <t>18K白金天然珍珠耳钉</t>
  </si>
  <si>
    <t>金箔玫瑰花</t>
  </si>
  <si>
    <t>STV牌彩色电视机</t>
  </si>
  <si>
    <t>吸尘器</t>
  </si>
  <si>
    <t>对开门式冰箱</t>
  </si>
  <si>
    <t>电饭煲</t>
  </si>
  <si>
    <t>微波炉</t>
  </si>
  <si>
    <t>德国咖啡机</t>
  </si>
  <si>
    <t>德国滤水壶</t>
  </si>
  <si>
    <t>健康电子烟</t>
  </si>
  <si>
    <t>数码相机</t>
  </si>
  <si>
    <t>数码相框</t>
  </si>
  <si>
    <t>轮毂</t>
  </si>
  <si>
    <t>转向柱</t>
  </si>
  <si>
    <t>山地车</t>
  </si>
  <si>
    <t>裸钻</t>
  </si>
  <si>
    <t>钻石戒指</t>
  </si>
  <si>
    <t>钻石耳钉</t>
  </si>
  <si>
    <t>18K黄金钻石戒指</t>
  </si>
  <si>
    <t>黄翡茶壶</t>
  </si>
  <si>
    <t>阳绿貔貅摆件</t>
  </si>
  <si>
    <t>翡翠玉镯</t>
  </si>
  <si>
    <t>金镶玉吊坠</t>
  </si>
  <si>
    <t>玉白菜摆件</t>
  </si>
  <si>
    <t>珍珠手链</t>
  </si>
  <si>
    <t>巴西天然紫水晶摆件</t>
  </si>
  <si>
    <t>琥珀吊坠</t>
  </si>
  <si>
    <t>布谷鸟钟</t>
  </si>
  <si>
    <t>男士机械表</t>
  </si>
  <si>
    <t>蓝莓</t>
  </si>
  <si>
    <t>儿童汽车安全座椅</t>
  </si>
  <si>
    <t>中国结</t>
  </si>
  <si>
    <t>中国油纸伞</t>
  </si>
  <si>
    <t>钢笔</t>
  </si>
  <si>
    <t>甘蔗</t>
  </si>
  <si>
    <t>香蕉</t>
  </si>
  <si>
    <t>菠萝</t>
  </si>
  <si>
    <t>柑橘</t>
  </si>
  <si>
    <t>红西柚</t>
  </si>
  <si>
    <t>巴西蜂胶</t>
  </si>
  <si>
    <t>深海鱼油</t>
  </si>
  <si>
    <t>7号电池</t>
  </si>
  <si>
    <t>18650锂电池</t>
  </si>
  <si>
    <t>绵羊油面霜</t>
  </si>
  <si>
    <t>芦荟胶</t>
  </si>
  <si>
    <t>特效润肤乳</t>
  </si>
  <si>
    <t>日本防蚊贴</t>
  </si>
  <si>
    <t>铬矿砂</t>
  </si>
  <si>
    <t>芭蕾水钻摆件</t>
  </si>
  <si>
    <t>男子足球鞋</t>
  </si>
  <si>
    <t>中国山水画</t>
  </si>
  <si>
    <t>手风琴</t>
  </si>
  <si>
    <t>防护面罩</t>
  </si>
  <si>
    <t>地球仪</t>
  </si>
  <si>
    <t>食用盐</t>
  </si>
  <si>
    <t>味精</t>
  </si>
  <si>
    <t>2003101100</t>
  </si>
  <si>
    <t>AB</t>
  </si>
  <si>
    <t>0902309000</t>
  </si>
  <si>
    <t>0902101100</t>
  </si>
  <si>
    <t>2005800000</t>
  </si>
  <si>
    <t>2008991000</t>
  </si>
  <si>
    <t>2008992000</t>
  </si>
  <si>
    <t>2008999000</t>
  </si>
  <si>
    <t>2204210000</t>
  </si>
  <si>
    <t>2002901100</t>
  </si>
  <si>
    <t>2201101000</t>
  </si>
  <si>
    <t>0409000000</t>
  </si>
  <si>
    <t>1604201990</t>
  </si>
  <si>
    <t>2202990099</t>
  </si>
  <si>
    <t>0402290000</t>
  </si>
  <si>
    <t>7AB</t>
  </si>
  <si>
    <t>1806900000</t>
  </si>
  <si>
    <t>1905310000</t>
  </si>
  <si>
    <t>1905900000</t>
  </si>
  <si>
    <t>0401200000</t>
  </si>
  <si>
    <t>6107210000</t>
  </si>
  <si>
    <t>A</t>
  </si>
  <si>
    <t>6109100010</t>
  </si>
  <si>
    <t>6110200090</t>
  </si>
  <si>
    <t>6110110000</t>
  </si>
  <si>
    <t>6108310000</t>
  </si>
  <si>
    <t>6104590000</t>
  </si>
  <si>
    <t>6211499000</t>
  </si>
  <si>
    <t>6214201000</t>
  </si>
  <si>
    <t>6211491000</t>
  </si>
  <si>
    <t>6203429062</t>
  </si>
  <si>
    <t>9105210000</t>
  </si>
  <si>
    <t>4419909090</t>
  </si>
  <si>
    <t>4420109090</t>
  </si>
  <si>
    <t>8202100000</t>
  </si>
  <si>
    <t>8211910000</t>
  </si>
  <si>
    <t>8212100000</t>
  </si>
  <si>
    <t>8205510000</t>
  </si>
  <si>
    <t>8204110000</t>
  </si>
  <si>
    <t>7304519090</t>
  </si>
  <si>
    <t/>
  </si>
  <si>
    <t>7419809900</t>
  </si>
  <si>
    <t>3406000090</t>
  </si>
  <si>
    <t>3208909090</t>
  </si>
  <si>
    <t>9405200090</t>
  </si>
  <si>
    <t>9503001000</t>
  </si>
  <si>
    <t>9503002100</t>
  </si>
  <si>
    <t>9503002900</t>
  </si>
  <si>
    <t>9503005000</t>
  </si>
  <si>
    <t>9506621000</t>
  </si>
  <si>
    <t>9004100000</t>
  </si>
  <si>
    <t>9004909000</t>
  </si>
  <si>
    <t>9005100000</t>
  </si>
  <si>
    <t>9018110000</t>
  </si>
  <si>
    <t>6O</t>
  </si>
  <si>
    <t>3304100092</t>
  </si>
  <si>
    <t>3304200092</t>
  </si>
  <si>
    <t>3303000020</t>
  </si>
  <si>
    <t>3304910000</t>
  </si>
  <si>
    <t>3304300002</t>
  </si>
  <si>
    <t>6704200000</t>
  </si>
  <si>
    <t>8518290000</t>
  </si>
  <si>
    <t>6911101900</t>
  </si>
  <si>
    <t>6601910000</t>
  </si>
  <si>
    <t>6601100000</t>
  </si>
  <si>
    <t>3401300000</t>
  </si>
  <si>
    <t>3401110000</t>
  </si>
  <si>
    <t>4202119090</t>
  </si>
  <si>
    <t>4202220000</t>
  </si>
  <si>
    <t>4202310090</t>
  </si>
  <si>
    <t>4202129000</t>
  </si>
  <si>
    <t>4602110000</t>
  </si>
  <si>
    <t>4601210000</t>
  </si>
  <si>
    <t>6302211000</t>
  </si>
  <si>
    <t>5701901000</t>
  </si>
  <si>
    <t>6302601010</t>
  </si>
  <si>
    <t>6306120000</t>
  </si>
  <si>
    <t>6306903000</t>
  </si>
  <si>
    <t>6306401000</t>
  </si>
  <si>
    <t>6403200090</t>
  </si>
  <si>
    <t>6403990090</t>
  </si>
  <si>
    <t>2922110001</t>
  </si>
  <si>
    <t>2917370000</t>
  </si>
  <si>
    <t xml:space="preserve"> </t>
  </si>
  <si>
    <t>2905410000</t>
  </si>
  <si>
    <t>2942000000</t>
  </si>
  <si>
    <t>0811200000</t>
  </si>
  <si>
    <t>0811909090</t>
  </si>
  <si>
    <t>0811100000</t>
  </si>
  <si>
    <t>0710809090</t>
  </si>
  <si>
    <t>0202300090</t>
  </si>
  <si>
    <t>47ABx</t>
  </si>
  <si>
    <t>1701130001</t>
  </si>
  <si>
    <t>ABt</t>
  </si>
  <si>
    <t>0901210000</t>
  </si>
  <si>
    <t>1201901100</t>
  </si>
  <si>
    <t>1001190001</t>
  </si>
  <si>
    <t>4xABty</t>
  </si>
  <si>
    <t>1005900090</t>
  </si>
  <si>
    <t>4xABy</t>
  </si>
  <si>
    <t>0713909000</t>
  </si>
  <si>
    <t>1006308001</t>
  </si>
  <si>
    <t>4xAByt</t>
  </si>
  <si>
    <t>2402100000</t>
  </si>
  <si>
    <t>7113191990</t>
  </si>
  <si>
    <t>J</t>
  </si>
  <si>
    <t>7113192990</t>
  </si>
  <si>
    <t>7113119090</t>
  </si>
  <si>
    <t>7103999000</t>
  </si>
  <si>
    <t>7113192100</t>
  </si>
  <si>
    <t>7410121000</t>
  </si>
  <si>
    <t>8528722900</t>
  </si>
  <si>
    <t>8508110000</t>
  </si>
  <si>
    <t>8414301900</t>
  </si>
  <si>
    <t>8516603000</t>
  </si>
  <si>
    <t>8516500000</t>
  </si>
  <si>
    <t>8516711000</t>
  </si>
  <si>
    <t>8421211000</t>
  </si>
  <si>
    <t>8543709990</t>
  </si>
  <si>
    <t>8525802900</t>
  </si>
  <si>
    <t>8708709900</t>
  </si>
  <si>
    <t>8708941000</t>
  </si>
  <si>
    <t>8712008900</t>
  </si>
  <si>
    <t>7102390000</t>
  </si>
  <si>
    <t>7113199100</t>
  </si>
  <si>
    <t>7113191100</t>
  </si>
  <si>
    <t>7116200000</t>
  </si>
  <si>
    <t>7116100000</t>
  </si>
  <si>
    <t>9105290000</t>
  </si>
  <si>
    <t>9101210090</t>
  </si>
  <si>
    <t>0810200000</t>
  </si>
  <si>
    <t>9401209000</t>
  </si>
  <si>
    <t>6304912900</t>
  </si>
  <si>
    <t>4823909000</t>
  </si>
  <si>
    <t>9608200000</t>
  </si>
  <si>
    <t>1212930000</t>
  </si>
  <si>
    <t>0803900000</t>
  </si>
  <si>
    <t>0804300001</t>
  </si>
  <si>
    <t>0805219000</t>
  </si>
  <si>
    <t>0805400001</t>
  </si>
  <si>
    <t>0410902900</t>
  </si>
  <si>
    <t>1504200099</t>
  </si>
  <si>
    <t>8506109010</t>
  </si>
  <si>
    <t>3304990029</t>
  </si>
  <si>
    <t>3307900000</t>
  </si>
  <si>
    <t>2610000000</t>
  </si>
  <si>
    <t>7018100000</t>
  </si>
  <si>
    <t>6402190090</t>
  </si>
  <si>
    <t>9702900000</t>
  </si>
  <si>
    <t>9205902000</t>
  </si>
  <si>
    <t>6506100010</t>
  </si>
  <si>
    <t>9023009000</t>
  </si>
  <si>
    <t>2501001100</t>
  </si>
  <si>
    <t>2103901000</t>
  </si>
  <si>
    <t>银行手续费</t>
  </si>
  <si>
    <t>出口地银行基本费用</t>
  </si>
  <si>
    <t>进口地银行基本费用</t>
  </si>
  <si>
    <t>最低手续费</t>
  </si>
  <si>
    <t>押汇手续费</t>
  </si>
  <si>
    <t>信用证入账手续费</t>
  </si>
  <si>
    <t>DA/DP入账手续费</t>
  </si>
  <si>
    <t>T/T入账手续费</t>
  </si>
  <si>
    <t>信用证付款手续费</t>
  </si>
  <si>
    <t>DA/DP付款手续费</t>
  </si>
  <si>
    <t>T/T付款手续费</t>
  </si>
  <si>
    <t>开证/改证手续费</t>
  </si>
  <si>
    <t>报关费用：/次</t>
  </si>
  <si>
    <t>鉴定费用：/次</t>
  </si>
  <si>
    <t>寄单费用：/次</t>
  </si>
  <si>
    <t>序号</t>
  </si>
  <si>
    <t>银行费率</t>
  </si>
  <si>
    <t>出口报检手续费</t>
  </si>
  <si>
    <t>每次收取货值（合同总额）的0.25%</t>
  </si>
  <si>
    <t>进口报检手续费</t>
  </si>
  <si>
    <t>D/A</t>
  </si>
  <si>
    <t>一般原产地证</t>
  </si>
  <si>
    <t>D/P</t>
  </si>
  <si>
    <t>普惠制产地证</t>
  </si>
  <si>
    <t>T/T</t>
  </si>
  <si>
    <t>贷款利率</t>
  </si>
  <si>
    <t>数量证书</t>
  </si>
  <si>
    <t>兽医卫生证书</t>
  </si>
  <si>
    <t>卫生证书</t>
  </si>
  <si>
    <t>动物卫生证书</t>
  </si>
  <si>
    <r>
      <rPr>
        <sz val="11"/>
        <color rgb="FF000000"/>
        <rFont val="等线"/>
        <family val="3"/>
        <charset val="134"/>
      </rPr>
      <t>熏蒸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消毒证书</t>
    </r>
  </si>
  <si>
    <t>无</t>
  </si>
  <si>
    <t>投保项目</t>
  </si>
  <si>
    <t>保险费率‰</t>
  </si>
  <si>
    <t>保险条款费率表</t>
  </si>
  <si>
    <t>中文名称</t>
  </si>
  <si>
    <r>
      <rPr>
        <sz val="9"/>
        <color rgb="FF000000"/>
        <rFont val="Verdana"/>
        <family val="2"/>
      </rPr>
      <t>保险费率(</t>
    </r>
    <r>
      <rPr>
        <sz val="9"/>
        <color rgb="FF000000"/>
        <rFont val="宋体"/>
        <family val="3"/>
        <charset val="134"/>
      </rPr>
      <t>‰</t>
    </r>
    <r>
      <rPr>
        <sz val="9"/>
        <color rgb="FF000000"/>
        <rFont val="Verdana"/>
        <family val="2"/>
      </rPr>
      <t>)</t>
    </r>
  </si>
  <si>
    <t>英文名称</t>
  </si>
  <si>
    <t>海运基本险</t>
  </si>
  <si>
    <t xml:space="preserve">       </t>
  </si>
  <si>
    <t>国内保险条款险别</t>
  </si>
  <si>
    <t>一切险</t>
  </si>
  <si>
    <t>ALL RISKS</t>
  </si>
  <si>
    <t>总保费率</t>
  </si>
  <si>
    <r>
      <rPr>
        <sz val="12"/>
        <color rgb="FF000000"/>
        <rFont val="宋体"/>
        <family val="3"/>
        <charset val="134"/>
      </rPr>
      <t>总保费率</t>
    </r>
    <r>
      <rPr>
        <sz val="12"/>
        <color rgb="FF000000"/>
        <rFont val="Arial"/>
        <family val="2"/>
      </rPr>
      <t>‰</t>
    </r>
  </si>
  <si>
    <t>水渍险</t>
  </si>
  <si>
    <t>W.P.A./W.A.</t>
  </si>
  <si>
    <t>平安险</t>
  </si>
  <si>
    <t>F.P.A.</t>
  </si>
  <si>
    <t>伦敦协会货物险条款</t>
  </si>
  <si>
    <r>
      <rPr>
        <sz val="9"/>
        <color rgb="FF000000"/>
        <rFont val="宋体"/>
        <family val="3"/>
        <charset val="134"/>
      </rPr>
      <t>协会货物</t>
    </r>
    <r>
      <rPr>
        <sz val="9"/>
        <color rgb="FF000000"/>
        <rFont val="Verdana"/>
        <family val="2"/>
      </rPr>
      <t>(A)</t>
    </r>
    <r>
      <rPr>
        <sz val="9"/>
        <color rgb="FF000000"/>
        <rFont val="宋体"/>
        <family val="3"/>
        <charset val="134"/>
      </rPr>
      <t>险条款</t>
    </r>
  </si>
  <si>
    <t>ICC CLAUSE A</t>
  </si>
  <si>
    <t>协会货物(B)险条款</t>
  </si>
  <si>
    <t>ICC CLAUSE B</t>
  </si>
  <si>
    <t>协会货物(C)险条款</t>
  </si>
  <si>
    <t>ICC CLAUSE C</t>
  </si>
  <si>
    <t>空运基本险</t>
  </si>
  <si>
    <t>航空运输险</t>
  </si>
  <si>
    <t>AIR TRANSPORTATION RISKS</t>
  </si>
  <si>
    <t>AIR TRANSPORTATION ALL RISKS</t>
  </si>
  <si>
    <t xml:space="preserve">         </t>
  </si>
  <si>
    <t>特殊附加险</t>
  </si>
  <si>
    <t>WAR RISKS</t>
  </si>
  <si>
    <t>FOB</t>
  </si>
  <si>
    <t>STRIKE</t>
  </si>
  <si>
    <t>CFR</t>
  </si>
  <si>
    <t>注：基本险只能选择一种投保，特殊附加险则在基本险的基础上加保，</t>
  </si>
  <si>
    <t>CIF</t>
  </si>
  <si>
    <t>如果同时加保特殊附加险中的战争险和罢工险，费率只按其中一项计算，不累加</t>
  </si>
  <si>
    <t>（即同时投保战争险和罢工险，费率仍是0.80‰，而不是1.60‰）。</t>
  </si>
  <si>
    <t>CPT</t>
  </si>
  <si>
    <t>CIP</t>
  </si>
  <si>
    <t>左成交价--上换算价</t>
  </si>
  <si>
    <t>FOB/FCA价</t>
  </si>
  <si>
    <t>CFR/CPT价</t>
  </si>
  <si>
    <t>CIF/CIP价</t>
  </si>
  <si>
    <t>LC</t>
  </si>
  <si>
    <t>DA</t>
  </si>
  <si>
    <t>DP</t>
  </si>
  <si>
    <t>TT</t>
  </si>
  <si>
    <t>AT SIGHT</t>
  </si>
  <si>
    <t>100% IN ADVANCE</t>
  </si>
  <si>
    <t>AT 45 DAYS AFTER SIGHT</t>
  </si>
  <si>
    <t>10% IN ADVANCE AND 90% WITHIN 30 DAYS AFTER SHIPMENT DATE</t>
  </si>
  <si>
    <t>AT 60 DAYS AFTER SIGHT</t>
  </si>
  <si>
    <t>20% IN ADVANCE AND 80% WITHIN 30 DAYS AFTER SHIPMENT DATE</t>
  </si>
  <si>
    <t>AT 90 DAYS AFTER SIGHT</t>
  </si>
  <si>
    <t>30% IN ADVANCE AND 70% WITHIN 30 DAYS AFTER SHIPMENT DATE</t>
  </si>
  <si>
    <t>40% IN ADVANCE AND 60% WITHIN 30 DAYS AFTER SHIPMENT DATE</t>
  </si>
  <si>
    <t>50% IN ADVANCE AND 50% WITHIN 30 DAYS AFTER SHIPMENT DATE</t>
  </si>
  <si>
    <t>60% IN ADVANCE AND 40% WITHIN 30 DAYS AFTER SHIPMENT DATE</t>
  </si>
  <si>
    <t>70% IN ADVANCE AND 30% WITHIN 30 DAYS AFTER SHIPMENT DATE</t>
  </si>
  <si>
    <t>80% IN ADVANCE AND 20% WITHIN 30 DAYS AFTER SHIPMENT DATE</t>
  </si>
  <si>
    <t>90% IN ADVANCE AND 10% WITHIN 30 DAYS AFTER SHIPMENT DATE</t>
  </si>
  <si>
    <t>100% WITHIN 30 DAYS AFTER SHIPMENT DATE</t>
  </si>
  <si>
    <t>New York-Shanghai</t>
  </si>
  <si>
    <t>WOMEN'S LEATHER SANDAL</t>
  </si>
  <si>
    <t>鞋面: 小山羊皮面, 鞋底: 耐磨橡胶底, 包装: 每箱20双</t>
  </si>
  <si>
    <t>SURFACE: KIDSKIN LEATHER UPPER, SOLE: SLIP-RESISTANT RUBBER SOLE, PACKING: 20 PAIRS/CARTON</t>
  </si>
  <si>
    <t>皮鞋</t>
  </si>
  <si>
    <t>PAIR（双）</t>
  </si>
  <si>
    <t>1个包装单位 = 20 个销售单位</t>
  </si>
  <si>
    <t>Rio De Janeiro-St.Petersburg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</si>
</sst>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#,##0.00_ "/>
    <numFmt numFmtId="178" formatCode="0_ "/>
  </numFmts>
  <fonts count="38" x14ac:knownFonts="1">
    <font>
      <sz val="12"/>
      <color theme="1"/>
      <name val="等线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b/>
      <sz val="20"/>
      <color rgb="FF000000"/>
      <name val="宋体"/>
      <family val="3"/>
      <charset val="134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Verdana"/>
      <family val="2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EA3324"/>
      <name val="宋体"/>
      <family val="3"/>
      <charset val="134"/>
    </font>
    <font>
      <sz val="11"/>
      <color rgb="FF000000"/>
      <name val="华文楷体"/>
      <family val="3"/>
      <charset val="134"/>
    </font>
    <font>
      <u/>
      <sz val="9"/>
      <color theme="10"/>
      <name val="等线"/>
      <family val="3"/>
      <charset val="134"/>
      <scheme val="minor"/>
    </font>
    <font>
      <u/>
      <sz val="10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2"/>
      <color rgb="FF000000"/>
      <name val="华文楷体"/>
      <family val="3"/>
      <charset val="134"/>
    </font>
    <font>
      <b/>
      <sz val="16"/>
      <color rgb="FF000000"/>
      <name val="宋体"/>
      <family val="3"/>
      <charset val="134"/>
    </font>
    <font>
      <sz val="12"/>
      <color rgb="FF000000"/>
      <name val="Arial"/>
      <family val="2"/>
    </font>
    <font>
      <sz val="18"/>
      <color rgb="FF000000"/>
      <name val="宋体"/>
      <family val="3"/>
      <charset val="134"/>
    </font>
    <font>
      <sz val="22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4"/>
      <color rgb="FF000000"/>
      <name val="华文琥珀"/>
      <family val="3"/>
      <charset val="134"/>
    </font>
    <font>
      <b/>
      <sz val="11"/>
      <color rgb="FF000000"/>
      <name val="等线"/>
      <family val="3"/>
      <charset val="134"/>
    </font>
    <font>
      <sz val="18"/>
      <color rgb="FF000000"/>
      <name val="华文琥珀"/>
      <family val="3"/>
      <charset val="134"/>
    </font>
    <font>
      <sz val="16"/>
      <color rgb="FF000000"/>
      <name val="华文琥珀"/>
      <family val="3"/>
      <charset val="134"/>
    </font>
    <font>
      <sz val="16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b/>
      <sz val="14"/>
      <color rgb="FF000000"/>
      <name val="宋体"/>
      <family val="3"/>
      <charset val="134"/>
    </font>
    <font>
      <b/>
      <sz val="14"/>
      <color rgb="FF000000"/>
      <name val="黑体"/>
      <family val="3"/>
      <charset val="134"/>
    </font>
    <font>
      <b/>
      <sz val="14"/>
      <color rgb="FFFFFFFF"/>
      <name val="黑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6"/>
      <color rgb="FF696969"/>
      <name val="Verdana"/>
      <family val="2"/>
    </font>
    <font>
      <sz val="12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0EA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F9F8"/>
        <bgColor indexed="64"/>
      </patternFill>
    </fill>
    <fill>
      <patternFill patternType="solid">
        <fgColor rgb="FFA3CC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959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93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 applyProtection="1"/>
    <xf numFmtId="0" fontId="1" fillId="0" borderId="2" xfId="0" applyFont="1" applyBorder="1" applyAlignment="1" applyProtection="1"/>
    <xf numFmtId="0" fontId="2" fillId="0" borderId="3" xfId="0" applyFont="1" applyBorder="1" applyAlignment="1" applyProtection="1"/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0" fontId="1" fillId="0" borderId="5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5" xfId="0" applyFont="1" applyBorder="1" applyAlignment="1" applyProtection="1"/>
    <xf numFmtId="0" fontId="3" fillId="0" borderId="6" xfId="0" applyFont="1" applyBorder="1" applyAlignment="1" applyProtection="1"/>
    <xf numFmtId="0" fontId="4" fillId="0" borderId="3" xfId="0" applyFont="1" applyBorder="1" applyAlignment="1" applyProtection="1"/>
    <xf numFmtId="0" fontId="4" fillId="0" borderId="6" xfId="0" applyFont="1" applyBorder="1" applyAlignment="1" applyProtection="1"/>
    <xf numFmtId="9" fontId="1" fillId="0" borderId="5" xfId="0" applyNumberFormat="1" applyFont="1" applyBorder="1" applyAlignment="1" applyProtection="1"/>
    <xf numFmtId="9" fontId="1" fillId="0" borderId="3" xfId="0" applyNumberFormat="1" applyFont="1" applyBorder="1" applyAlignment="1" applyProtection="1"/>
    <xf numFmtId="0" fontId="1" fillId="0" borderId="6" xfId="0" applyFont="1" applyBorder="1" applyAlignment="1" applyProtection="1"/>
    <xf numFmtId="176" fontId="1" fillId="0" borderId="5" xfId="0" applyNumberFormat="1" applyFont="1" applyBorder="1" applyAlignment="1" applyProtection="1"/>
    <xf numFmtId="0" fontId="1" fillId="0" borderId="7" xfId="0" applyFont="1" applyBorder="1" applyAlignment="1" applyProtection="1"/>
    <xf numFmtId="176" fontId="1" fillId="0" borderId="8" xfId="0" applyNumberFormat="1" applyFont="1" applyBorder="1" applyAlignment="1" applyProtection="1"/>
    <xf numFmtId="9" fontId="1" fillId="0" borderId="0" xfId="0" applyNumberFormat="1" applyFont="1" applyAlignment="1"/>
    <xf numFmtId="176" fontId="1" fillId="0" borderId="3" xfId="0" applyNumberFormat="1" applyFont="1" applyBorder="1" applyAlignment="1" applyProtection="1"/>
    <xf numFmtId="176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5" fillId="0" borderId="0" xfId="0" applyFont="1" applyAlignment="1"/>
    <xf numFmtId="0" fontId="6" fillId="2" borderId="9" xfId="0" applyFont="1" applyFill="1" applyBorder="1" applyAlignment="1" applyProtection="1">
      <alignment vertical="center" wrapText="1"/>
    </xf>
    <xf numFmtId="0" fontId="6" fillId="2" borderId="10" xfId="0" applyFont="1" applyFill="1" applyBorder="1" applyAlignment="1" applyProtection="1">
      <alignment vertical="center" wrapText="1"/>
    </xf>
    <xf numFmtId="0" fontId="6" fillId="2" borderId="11" xfId="0" applyFont="1" applyFill="1" applyBorder="1" applyAlignment="1" applyProtection="1">
      <alignment vertical="center" wrapText="1"/>
    </xf>
    <xf numFmtId="0" fontId="7" fillId="2" borderId="3" xfId="0" applyFont="1" applyFill="1" applyBorder="1" applyAlignment="1" applyProtection="1">
      <alignment vertical="center" wrapText="1"/>
    </xf>
    <xf numFmtId="0" fontId="8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vertical="center" wrapText="1"/>
    </xf>
    <xf numFmtId="0" fontId="7" fillId="3" borderId="3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left" vertical="center"/>
    </xf>
    <xf numFmtId="0" fontId="1" fillId="3" borderId="3" xfId="0" applyFont="1" applyFill="1" applyBorder="1" applyAlignment="1" applyProtection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11" fillId="5" borderId="3" xfId="0" applyFont="1" applyFill="1" applyBorder="1" applyAlignment="1" applyProtection="1"/>
    <xf numFmtId="0" fontId="1" fillId="4" borderId="3" xfId="0" applyFont="1" applyFill="1" applyBorder="1" applyAlignment="1" applyProtection="1"/>
    <xf numFmtId="0" fontId="1" fillId="3" borderId="3" xfId="0" applyFont="1" applyFill="1" applyBorder="1" applyProtection="1">
      <alignment vertical="center"/>
    </xf>
    <xf numFmtId="0" fontId="1" fillId="4" borderId="3" xfId="0" applyFont="1" applyFill="1" applyBorder="1" applyProtection="1">
      <alignment vertical="center"/>
    </xf>
    <xf numFmtId="0" fontId="11" fillId="5" borderId="3" xfId="0" applyFont="1" applyFill="1" applyBorder="1" applyProtection="1">
      <alignment vertical="center"/>
    </xf>
    <xf numFmtId="0" fontId="12" fillId="3" borderId="3" xfId="0" applyFont="1" applyFill="1" applyBorder="1" applyProtection="1">
      <alignment vertical="center"/>
    </xf>
    <xf numFmtId="0" fontId="12" fillId="4" borderId="3" xfId="0" applyFont="1" applyFill="1" applyBorder="1" applyProtection="1">
      <alignment vertical="center"/>
    </xf>
    <xf numFmtId="0" fontId="13" fillId="3" borderId="3" xfId="0" applyFont="1" applyFill="1" applyBorder="1" applyProtection="1">
      <alignment vertical="center"/>
    </xf>
    <xf numFmtId="0" fontId="1" fillId="6" borderId="3" xfId="0" applyFont="1" applyFill="1" applyBorder="1" applyProtection="1">
      <alignment vertical="center"/>
    </xf>
    <xf numFmtId="0" fontId="12" fillId="5" borderId="3" xfId="0" applyFont="1" applyFill="1" applyBorder="1" applyProtection="1">
      <alignment vertical="center"/>
    </xf>
    <xf numFmtId="0" fontId="1" fillId="4" borderId="0" xfId="0" applyFont="1" applyFill="1" applyAlignment="1"/>
    <xf numFmtId="0" fontId="0" fillId="0" borderId="0" xfId="0" applyFill="1">
      <alignment vertical="center"/>
    </xf>
    <xf numFmtId="0" fontId="14" fillId="0" borderId="3" xfId="0" applyFont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left" vertical="center"/>
    </xf>
    <xf numFmtId="0" fontId="14" fillId="3" borderId="3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</xf>
    <xf numFmtId="0" fontId="14" fillId="4" borderId="3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horizontal="left" vertical="center"/>
    </xf>
    <xf numFmtId="0" fontId="14" fillId="0" borderId="3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14" fillId="3" borderId="3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/>
    <xf numFmtId="0" fontId="4" fillId="3" borderId="3" xfId="0" applyFont="1" applyFill="1" applyBorder="1" applyAlignment="1" applyProtection="1">
      <alignment horizontal="center" wrapText="1"/>
    </xf>
    <xf numFmtId="0" fontId="4" fillId="0" borderId="3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0" xfId="0" applyFont="1" applyFill="1" applyAlignment="1"/>
    <xf numFmtId="0" fontId="1" fillId="3" borderId="3" xfId="0" applyFont="1" applyFill="1" applyBorder="1" applyAlignment="1" applyProtection="1">
      <alignment horizontal="center"/>
    </xf>
    <xf numFmtId="49" fontId="1" fillId="0" borderId="0" xfId="0" applyNumberFormat="1" applyFont="1" applyAlignment="1"/>
    <xf numFmtId="0" fontId="1" fillId="0" borderId="3" xfId="0" applyFont="1" applyBorder="1" applyAlignment="1" applyProtection="1">
      <alignment horizontal="right"/>
    </xf>
    <xf numFmtId="49" fontId="1" fillId="0" borderId="3" xfId="0" applyNumberFormat="1" applyFont="1" applyBorder="1" applyAlignment="1" applyProtection="1">
      <alignment horizontal="right"/>
    </xf>
    <xf numFmtId="49" fontId="1" fillId="3" borderId="3" xfId="0" applyNumberFormat="1" applyFont="1" applyFill="1" applyBorder="1" applyAlignment="1" applyProtection="1">
      <alignment horizontal="right"/>
    </xf>
    <xf numFmtId="10" fontId="1" fillId="3" borderId="3" xfId="0" applyNumberFormat="1" applyFont="1" applyFill="1" applyBorder="1" applyAlignment="1" applyProtection="1">
      <alignment horizontal="right"/>
    </xf>
    <xf numFmtId="0" fontId="1" fillId="3" borderId="3" xfId="0" applyFont="1" applyFill="1" applyBorder="1" applyAlignment="1" applyProtection="1">
      <alignment horizontal="right"/>
    </xf>
    <xf numFmtId="10" fontId="1" fillId="0" borderId="0" xfId="0" applyNumberFormat="1" applyFont="1" applyAlignment="1">
      <alignment horizontal="center" vertical="center"/>
    </xf>
    <xf numFmtId="10" fontId="12" fillId="3" borderId="3" xfId="0" applyNumberFormat="1" applyFont="1" applyFill="1" applyBorder="1" applyAlignment="1" applyProtection="1">
      <alignment horizontal="right"/>
    </xf>
    <xf numFmtId="49" fontId="12" fillId="3" borderId="3" xfId="0" applyNumberFormat="1" applyFont="1" applyFill="1" applyBorder="1" applyAlignment="1" applyProtection="1">
      <alignment horizontal="right"/>
    </xf>
    <xf numFmtId="0" fontId="1" fillId="4" borderId="3" xfId="0" applyFont="1" applyFill="1" applyBorder="1" applyAlignment="1" applyProtection="1">
      <alignment horizontal="right"/>
    </xf>
    <xf numFmtId="49" fontId="1" fillId="4" borderId="3" xfId="0" applyNumberFormat="1" applyFont="1" applyFill="1" applyBorder="1" applyAlignment="1" applyProtection="1">
      <alignment horizontal="right"/>
    </xf>
    <xf numFmtId="10" fontId="1" fillId="4" borderId="3" xfId="0" applyNumberFormat="1" applyFont="1" applyFill="1" applyBorder="1" applyAlignment="1" applyProtection="1">
      <alignment horizontal="right"/>
    </xf>
    <xf numFmtId="0" fontId="12" fillId="3" borderId="3" xfId="0" applyFont="1" applyFill="1" applyBorder="1" applyAlignment="1" applyProtection="1">
      <alignment horizontal="right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3" xfId="0" applyNumberFormat="1" applyFont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11" fillId="5" borderId="3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 vertical="center"/>
    </xf>
    <xf numFmtId="0" fontId="12" fillId="4" borderId="3" xfId="0" applyFont="1" applyFill="1" applyBorder="1" applyAlignment="1" applyProtection="1">
      <alignment horizontal="center" vertical="center"/>
    </xf>
    <xf numFmtId="0" fontId="17" fillId="7" borderId="3" xfId="0" applyFont="1" applyFill="1" applyBorder="1" applyAlignment="1" applyProtection="1">
      <alignment horizontal="center" vertical="center"/>
    </xf>
    <xf numFmtId="177" fontId="1" fillId="3" borderId="3" xfId="0" applyNumberFormat="1" applyFont="1" applyFill="1" applyBorder="1" applyAlignment="1" applyProtection="1">
      <alignment horizontal="center" vertical="center"/>
    </xf>
    <xf numFmtId="177" fontId="12" fillId="3" borderId="3" xfId="0" applyNumberFormat="1" applyFont="1" applyFill="1" applyBorder="1" applyAlignment="1" applyProtection="1">
      <alignment horizontal="center" vertical="center"/>
    </xf>
    <xf numFmtId="0" fontId="17" fillId="8" borderId="3" xfId="0" applyFont="1" applyFill="1" applyBorder="1" applyAlignment="1" applyProtection="1">
      <alignment horizontal="center" vertical="center"/>
    </xf>
    <xf numFmtId="0" fontId="1" fillId="9" borderId="3" xfId="0" applyFont="1" applyFill="1" applyBorder="1" applyAlignment="1" applyProtection="1">
      <alignment horizontal="right"/>
    </xf>
    <xf numFmtId="49" fontId="1" fillId="9" borderId="3" xfId="0" applyNumberFormat="1" applyFont="1" applyFill="1" applyBorder="1" applyAlignment="1" applyProtection="1">
      <alignment horizontal="right"/>
    </xf>
    <xf numFmtId="49" fontId="1" fillId="9" borderId="15" xfId="0" applyNumberFormat="1" applyFont="1" applyFill="1" applyBorder="1" applyAlignment="1" applyProtection="1">
      <alignment horizontal="right"/>
    </xf>
    <xf numFmtId="49" fontId="1" fillId="9" borderId="3" xfId="0" applyNumberFormat="1" applyFont="1" applyFill="1" applyBorder="1" applyAlignment="1" applyProtection="1">
      <alignment horizontal="right" vertical="center"/>
    </xf>
    <xf numFmtId="49" fontId="1" fillId="0" borderId="3" xfId="0" applyNumberFormat="1" applyFont="1" applyBorder="1" applyAlignment="1" applyProtection="1">
      <alignment horizontal="right" vertical="center"/>
    </xf>
    <xf numFmtId="0" fontId="14" fillId="0" borderId="0" xfId="0" applyFont="1" applyAlignment="1">
      <alignment horizontal="center" vertical="center"/>
    </xf>
    <xf numFmtId="0" fontId="18" fillId="9" borderId="9" xfId="0" applyFont="1" applyFill="1" applyBorder="1" applyProtection="1">
      <alignment vertical="center"/>
    </xf>
    <xf numFmtId="0" fontId="18" fillId="9" borderId="10" xfId="0" applyFont="1" applyFill="1" applyBorder="1" applyProtection="1">
      <alignment vertical="center"/>
    </xf>
    <xf numFmtId="0" fontId="18" fillId="9" borderId="11" xfId="0" applyFont="1" applyFill="1" applyBorder="1" applyProtection="1">
      <alignment vertical="center"/>
    </xf>
    <xf numFmtId="0" fontId="18" fillId="9" borderId="3" xfId="0" applyFont="1" applyFill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4" fillId="10" borderId="3" xfId="0" applyFont="1" applyFill="1" applyBorder="1" applyAlignment="1" applyProtection="1">
      <alignment horizontal="center" vertical="center"/>
    </xf>
    <xf numFmtId="0" fontId="14" fillId="8" borderId="3" xfId="0" applyFont="1" applyFill="1" applyBorder="1" applyAlignment="1" applyProtection="1">
      <alignment horizontal="center" vertical="center"/>
    </xf>
    <xf numFmtId="0" fontId="1" fillId="3" borderId="16" xfId="0" applyFont="1" applyFill="1" applyBorder="1" applyAlignment="1" applyProtection="1"/>
    <xf numFmtId="0" fontId="1" fillId="3" borderId="17" xfId="0" applyFont="1" applyFill="1" applyBorder="1" applyAlignment="1" applyProtection="1"/>
    <xf numFmtId="0" fontId="1" fillId="3" borderId="18" xfId="0" applyFont="1" applyFill="1" applyBorder="1" applyAlignment="1" applyProtection="1"/>
    <xf numFmtId="0" fontId="1" fillId="3" borderId="4" xfId="0" applyFont="1" applyFill="1" applyBorder="1" applyAlignment="1" applyProtection="1"/>
    <xf numFmtId="0" fontId="1" fillId="3" borderId="19" xfId="0" applyFont="1" applyFill="1" applyBorder="1" applyAlignment="1" applyProtection="1"/>
    <xf numFmtId="0" fontId="19" fillId="11" borderId="20" xfId="0" applyFont="1" applyFill="1" applyBorder="1" applyAlignment="1" applyProtection="1"/>
    <xf numFmtId="0" fontId="1" fillId="11" borderId="21" xfId="0" applyFont="1" applyFill="1" applyBorder="1" applyAlignment="1" applyProtection="1"/>
    <xf numFmtId="0" fontId="20" fillId="0" borderId="0" xfId="0" applyFont="1" applyAlignment="1"/>
    <xf numFmtId="0" fontId="1" fillId="3" borderId="22" xfId="0" applyFont="1" applyFill="1" applyBorder="1" applyAlignment="1" applyProtection="1"/>
    <xf numFmtId="0" fontId="1" fillId="3" borderId="23" xfId="0" applyFont="1" applyFill="1" applyBorder="1" applyAlignment="1" applyProtection="1"/>
    <xf numFmtId="0" fontId="1" fillId="3" borderId="24" xfId="0" applyFont="1" applyFill="1" applyBorder="1" applyAlignment="1" applyProtection="1"/>
    <xf numFmtId="0" fontId="1" fillId="11" borderId="25" xfId="0" applyFont="1" applyFill="1" applyBorder="1" applyAlignment="1" applyProtection="1"/>
    <xf numFmtId="0" fontId="1" fillId="0" borderId="0" xfId="0" applyFont="1" applyAlignment="1">
      <alignment horizontal="center"/>
    </xf>
    <xf numFmtId="0" fontId="7" fillId="1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1" fillId="13" borderId="0" xfId="0" applyFont="1" applyFill="1" applyAlignment="1"/>
    <xf numFmtId="0" fontId="1" fillId="0" borderId="0" xfId="0" applyFont="1" applyAlignment="1" applyProtection="1">
      <protection locked="0"/>
    </xf>
    <xf numFmtId="0" fontId="1" fillId="14" borderId="16" xfId="0" applyFont="1" applyFill="1" applyBorder="1" applyAlignment="1" applyProtection="1">
      <protection locked="0"/>
    </xf>
    <xf numFmtId="0" fontId="1" fillId="14" borderId="17" xfId="0" applyFont="1" applyFill="1" applyBorder="1" applyAlignment="1" applyProtection="1">
      <protection locked="0"/>
    </xf>
    <xf numFmtId="0" fontId="1" fillId="14" borderId="18" xfId="0" applyFont="1" applyFill="1" applyBorder="1" applyAlignment="1" applyProtection="1">
      <protection locked="0"/>
    </xf>
    <xf numFmtId="0" fontId="1" fillId="14" borderId="4" xfId="0" applyFont="1" applyFill="1" applyBorder="1" applyAlignment="1" applyProtection="1">
      <protection locked="0"/>
    </xf>
    <xf numFmtId="0" fontId="1" fillId="14" borderId="19" xfId="0" applyFont="1" applyFill="1" applyBorder="1" applyAlignment="1" applyProtection="1">
      <protection locked="0"/>
    </xf>
    <xf numFmtId="0" fontId="1" fillId="14" borderId="22" xfId="0" applyFont="1" applyFill="1" applyBorder="1" applyAlignment="1" applyProtection="1">
      <protection locked="0"/>
    </xf>
    <xf numFmtId="0" fontId="1" fillId="14" borderId="23" xfId="0" applyFont="1" applyFill="1" applyBorder="1" applyAlignment="1" applyProtection="1">
      <protection locked="0"/>
    </xf>
    <xf numFmtId="0" fontId="1" fillId="14" borderId="24" xfId="0" applyFont="1" applyFill="1" applyBorder="1" applyAlignment="1" applyProtection="1">
      <protection locked="0"/>
    </xf>
    <xf numFmtId="176" fontId="1" fillId="0" borderId="3" xfId="0" applyNumberFormat="1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right" vertical="center"/>
    </xf>
    <xf numFmtId="176" fontId="1" fillId="0" borderId="3" xfId="0" applyNumberFormat="1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right"/>
    </xf>
    <xf numFmtId="176" fontId="2" fillId="0" borderId="3" xfId="0" applyNumberFormat="1" applyFont="1" applyBorder="1" applyAlignment="1" applyProtection="1"/>
    <xf numFmtId="176" fontId="2" fillId="0" borderId="3" xfId="0" applyNumberFormat="1" applyFont="1" applyBorder="1" applyAlignment="1" applyProtection="1">
      <alignment horizontal="center"/>
    </xf>
    <xf numFmtId="178" fontId="1" fillId="0" borderId="3" xfId="0" applyNumberFormat="1" applyFont="1" applyBorder="1" applyAlignment="1" applyProtection="1">
      <alignment horizont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 applyProtection="1">
      <alignment horizontal="right"/>
      <protection locked="0"/>
    </xf>
    <xf numFmtId="20" fontId="1" fillId="0" borderId="0" xfId="0" applyNumberFormat="1" applyFont="1" applyAlignment="1" applyProtection="1"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0" fillId="16" borderId="0" xfId="0" applyFill="1">
      <alignment vertical="center"/>
    </xf>
    <xf numFmtId="0" fontId="24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5" fillId="0" borderId="26" xfId="0" applyFont="1" applyBorder="1" applyAlignment="1" applyProtection="1">
      <alignment horizontal="left" vertical="center"/>
    </xf>
    <xf numFmtId="0" fontId="25" fillId="0" borderId="20" xfId="0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25" fillId="0" borderId="2" xfId="0" applyFont="1" applyBorder="1" applyAlignment="1" applyProtection="1">
      <alignment horizontal="center" vertical="center"/>
    </xf>
    <xf numFmtId="10" fontId="5" fillId="0" borderId="27" xfId="0" applyNumberFormat="1" applyFont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left" vertical="center"/>
    </xf>
    <xf numFmtId="0" fontId="1" fillId="0" borderId="30" xfId="0" applyFont="1" applyBorder="1" applyAlignment="1" applyProtection="1">
      <alignment horizontal="center" vertical="center"/>
    </xf>
    <xf numFmtId="0" fontId="17" fillId="0" borderId="3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left" vertical="center"/>
    </xf>
    <xf numFmtId="0" fontId="25" fillId="3" borderId="34" xfId="0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left"/>
    </xf>
    <xf numFmtId="49" fontId="28" fillId="7" borderId="35" xfId="0" applyNumberFormat="1" applyFont="1" applyFill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left" vertical="center"/>
    </xf>
    <xf numFmtId="0" fontId="25" fillId="3" borderId="9" xfId="0" applyFont="1" applyFill="1" applyBorder="1" applyAlignment="1" applyProtection="1">
      <alignment horizontal="center" vertical="center"/>
      <protection locked="0"/>
    </xf>
    <xf numFmtId="0" fontId="28" fillId="0" borderId="7" xfId="0" applyFont="1" applyBorder="1" applyAlignment="1" applyProtection="1">
      <alignment horizontal="left"/>
    </xf>
    <xf numFmtId="0" fontId="28" fillId="0" borderId="37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left"/>
    </xf>
    <xf numFmtId="0" fontId="25" fillId="3" borderId="9" xfId="0" applyFont="1" applyFill="1" applyBorder="1" applyAlignment="1" applyProtection="1">
      <alignment horizontal="center"/>
      <protection locked="0"/>
    </xf>
    <xf numFmtId="0" fontId="17" fillId="0" borderId="38" xfId="0" applyFont="1" applyBorder="1" applyAlignment="1" applyProtection="1">
      <alignment horizontal="left"/>
    </xf>
    <xf numFmtId="0" fontId="17" fillId="0" borderId="39" xfId="0" applyFont="1" applyBorder="1" applyAlignment="1" applyProtection="1">
      <alignment horizontal="center"/>
    </xf>
    <xf numFmtId="0" fontId="2" fillId="0" borderId="32" xfId="0" applyFont="1" applyBorder="1" applyAlignment="1" applyProtection="1">
      <alignment horizontal="center" vertical="center"/>
    </xf>
    <xf numFmtId="176" fontId="17" fillId="0" borderId="10" xfId="0" applyNumberFormat="1" applyFont="1" applyBorder="1" applyAlignment="1" applyProtection="1"/>
    <xf numFmtId="176" fontId="2" fillId="0" borderId="40" xfId="0" applyNumberFormat="1" applyFont="1" applyBorder="1" applyAlignment="1" applyProtection="1">
      <alignment horizontal="center" vertical="center"/>
    </xf>
    <xf numFmtId="0" fontId="1" fillId="0" borderId="40" xfId="0" applyFont="1" applyBorder="1" applyAlignment="1" applyProtection="1">
      <alignment horizontal="center" vertical="center"/>
    </xf>
    <xf numFmtId="0" fontId="25" fillId="3" borderId="9" xfId="0" applyFont="1" applyFill="1" applyBorder="1" applyAlignment="1" applyProtection="1">
      <protection locked="0"/>
    </xf>
    <xf numFmtId="0" fontId="17" fillId="0" borderId="29" xfId="0" applyFont="1" applyBorder="1" applyAlignment="1" applyProtection="1">
      <alignment horizontal="left"/>
    </xf>
    <xf numFmtId="176" fontId="17" fillId="0" borderId="41" xfId="0" applyNumberFormat="1" applyFont="1" applyBorder="1" applyAlignment="1" applyProtection="1"/>
    <xf numFmtId="0" fontId="1" fillId="8" borderId="42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left"/>
    </xf>
    <xf numFmtId="10" fontId="17" fillId="0" borderId="2" xfId="0" applyNumberFormat="1" applyFont="1" applyBorder="1" applyAlignment="1" applyProtection="1">
      <alignment horizontal="center" vertical="center"/>
    </xf>
    <xf numFmtId="176" fontId="25" fillId="0" borderId="43" xfId="0" applyNumberFormat="1" applyFont="1" applyBorder="1" applyAlignment="1" applyProtection="1">
      <alignment horizontal="center" vertical="center"/>
    </xf>
    <xf numFmtId="0" fontId="17" fillId="0" borderId="9" xfId="0" applyFont="1" applyBorder="1" applyAlignment="1" applyProtection="1">
      <alignment horizontal="center"/>
    </xf>
    <xf numFmtId="10" fontId="17" fillId="0" borderId="5" xfId="0" applyNumberFormat="1" applyFont="1" applyBorder="1" applyAlignment="1" applyProtection="1">
      <alignment horizontal="center" vertical="center"/>
    </xf>
    <xf numFmtId="176" fontId="1" fillId="0" borderId="43" xfId="0" applyNumberFormat="1" applyFont="1" applyBorder="1" applyAlignment="1" applyProtection="1">
      <alignment horizontal="center" vertical="center"/>
    </xf>
    <xf numFmtId="9" fontId="25" fillId="3" borderId="9" xfId="0" applyNumberFormat="1" applyFont="1" applyFill="1" applyBorder="1" applyAlignment="1" applyProtection="1">
      <alignment horizontal="center"/>
      <protection locked="0"/>
    </xf>
    <xf numFmtId="0" fontId="17" fillId="0" borderId="29" xfId="0" applyFont="1" applyBorder="1" applyAlignment="1" applyProtection="1">
      <alignment horizontal="left" vertical="center"/>
    </xf>
    <xf numFmtId="0" fontId="25" fillId="3" borderId="9" xfId="0" applyFont="1" applyFill="1" applyBorder="1" applyAlignment="1" applyProtection="1">
      <alignment horizontal="left" vertical="center" wrapText="1"/>
      <protection locked="0"/>
    </xf>
    <xf numFmtId="0" fontId="17" fillId="0" borderId="45" xfId="0" applyFont="1" applyBorder="1" applyAlignment="1" applyProtection="1">
      <alignment horizontal="left" vertical="center"/>
    </xf>
    <xf numFmtId="0" fontId="17" fillId="0" borderId="5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left" vertical="center"/>
    </xf>
    <xf numFmtId="0" fontId="17" fillId="0" borderId="30" xfId="0" applyFont="1" applyBorder="1" applyAlignment="1" applyProtection="1">
      <alignment horizontal="center" vertical="center"/>
    </xf>
    <xf numFmtId="176" fontId="1" fillId="0" borderId="46" xfId="0" applyNumberFormat="1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left"/>
    </xf>
    <xf numFmtId="0" fontId="17" fillId="0" borderId="47" xfId="0" applyFont="1" applyBorder="1" applyAlignment="1" applyProtection="1">
      <alignment horizontal="center"/>
    </xf>
    <xf numFmtId="0" fontId="17" fillId="0" borderId="48" xfId="0" applyFont="1" applyBorder="1" applyAlignment="1" applyProtection="1">
      <alignment horizontal="left" vertical="center"/>
    </xf>
    <xf numFmtId="0" fontId="17" fillId="0" borderId="8" xfId="0" applyFont="1" applyBorder="1" applyAlignment="1" applyProtection="1">
      <alignment horizontal="center" vertical="center"/>
    </xf>
    <xf numFmtId="176" fontId="17" fillId="0" borderId="49" xfId="0" applyNumberFormat="1" applyFont="1" applyBorder="1" applyAlignment="1" applyProtection="1">
      <alignment horizontal="center" vertical="center"/>
    </xf>
    <xf numFmtId="0" fontId="29" fillId="0" borderId="50" xfId="0" applyFont="1" applyBorder="1" applyAlignment="1" applyProtection="1">
      <alignment horizontal="center" vertical="center"/>
    </xf>
    <xf numFmtId="0" fontId="29" fillId="0" borderId="51" xfId="0" applyFont="1" applyBorder="1" applyAlignment="1" applyProtection="1">
      <alignment horizontal="center" vertical="center"/>
    </xf>
    <xf numFmtId="0" fontId="29" fillId="0" borderId="26" xfId="0" applyFont="1" applyBorder="1" applyAlignment="1" applyProtection="1">
      <alignment horizontal="center" vertical="center"/>
    </xf>
    <xf numFmtId="176" fontId="17" fillId="0" borderId="14" xfId="0" applyNumberFormat="1" applyFont="1" applyBorder="1" applyAlignment="1" applyProtection="1">
      <alignment horizontal="center" vertical="center"/>
    </xf>
    <xf numFmtId="176" fontId="25" fillId="0" borderId="14" xfId="0" applyNumberFormat="1" applyFont="1" applyBorder="1" applyAlignment="1" applyProtection="1">
      <alignment horizontal="center" vertical="center"/>
    </xf>
    <xf numFmtId="176" fontId="17" fillId="0" borderId="52" xfId="0" applyNumberFormat="1" applyFont="1" applyBorder="1" applyAlignment="1" applyProtection="1">
      <alignment horizontal="center" vertical="center"/>
    </xf>
    <xf numFmtId="0" fontId="25" fillId="0" borderId="6" xfId="0" applyFont="1" applyBorder="1" applyAlignment="1" applyProtection="1">
      <alignment horizontal="left" vertical="center"/>
    </xf>
    <xf numFmtId="176" fontId="25" fillId="0" borderId="3" xfId="0" applyNumberFormat="1" applyFont="1" applyBorder="1" applyAlignment="1" applyProtection="1">
      <alignment horizontal="center" vertical="center"/>
    </xf>
    <xf numFmtId="176" fontId="17" fillId="0" borderId="3" xfId="0" applyNumberFormat="1" applyFont="1" applyBorder="1" applyAlignment="1" applyProtection="1">
      <alignment horizontal="center" vertical="center"/>
    </xf>
    <xf numFmtId="176" fontId="17" fillId="0" borderId="5" xfId="0" applyNumberFormat="1" applyFont="1" applyBorder="1" applyAlignment="1" applyProtection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5" fillId="0" borderId="5" xfId="0" applyNumberFormat="1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left" vertical="center"/>
    </xf>
    <xf numFmtId="0" fontId="17" fillId="0" borderId="53" xfId="0" applyFont="1" applyBorder="1" applyAlignment="1" applyProtection="1">
      <alignment horizontal="center"/>
    </xf>
    <xf numFmtId="0" fontId="25" fillId="0" borderId="24" xfId="0" applyFont="1" applyBorder="1" applyAlignment="1" applyProtection="1">
      <alignment horizontal="center"/>
    </xf>
    <xf numFmtId="0" fontId="17" fillId="0" borderId="53" xfId="0" applyFont="1" applyBorder="1" applyAlignment="1" applyProtection="1">
      <alignment horizontal="center" vertical="center"/>
    </xf>
    <xf numFmtId="176" fontId="17" fillId="0" borderId="53" xfId="0" applyNumberFormat="1" applyFont="1" applyBorder="1" applyAlignment="1" applyProtection="1">
      <alignment horizontal="center" vertical="center"/>
    </xf>
    <xf numFmtId="176" fontId="17" fillId="0" borderId="8" xfId="0" applyNumberFormat="1" applyFont="1" applyBorder="1" applyAlignment="1" applyProtection="1">
      <alignment horizontal="center" vertical="center"/>
    </xf>
    <xf numFmtId="0" fontId="1" fillId="0" borderId="27" xfId="0" applyFont="1" applyBorder="1" applyAlignment="1" applyProtection="1">
      <alignment horizontal="left" vertical="center"/>
    </xf>
    <xf numFmtId="0" fontId="29" fillId="0" borderId="54" xfId="0" applyFont="1" applyBorder="1" applyAlignment="1" applyProtection="1">
      <alignment horizontal="center" vertical="center"/>
    </xf>
    <xf numFmtId="0" fontId="29" fillId="0" borderId="55" xfId="0" applyFont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left" vertical="center"/>
    </xf>
    <xf numFmtId="176" fontId="1" fillId="0" borderId="56" xfId="0" applyNumberFormat="1" applyFont="1" applyBorder="1" applyAlignment="1" applyProtection="1">
      <alignment horizontal="center" vertical="center"/>
    </xf>
    <xf numFmtId="176" fontId="25" fillId="0" borderId="56" xfId="0" applyNumberFormat="1" applyFont="1" applyBorder="1" applyAlignment="1" applyProtection="1">
      <alignment horizontal="right" vertical="center"/>
    </xf>
    <xf numFmtId="0" fontId="1" fillId="0" borderId="34" xfId="0" applyFont="1" applyBorder="1" applyAlignment="1" applyProtection="1">
      <alignment horizontal="center" vertical="center"/>
    </xf>
    <xf numFmtId="0" fontId="2" fillId="0" borderId="36" xfId="0" applyFont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176" fontId="25" fillId="0" borderId="3" xfId="0" applyNumberFormat="1" applyFont="1" applyBorder="1" applyAlignment="1" applyProtection="1">
      <alignment horizontal="right" vertical="center"/>
    </xf>
    <xf numFmtId="176" fontId="1" fillId="0" borderId="9" xfId="0" applyNumberFormat="1" applyFont="1" applyBorder="1" applyAlignment="1" applyProtection="1">
      <alignment horizontal="center" vertical="center"/>
    </xf>
    <xf numFmtId="176" fontId="1" fillId="0" borderId="40" xfId="0" applyNumberFormat="1" applyFont="1" applyBorder="1" applyAlignment="1" applyProtection="1">
      <alignment horizontal="right" vertical="center"/>
    </xf>
    <xf numFmtId="176" fontId="25" fillId="0" borderId="6" xfId="0" applyNumberFormat="1" applyFont="1" applyBorder="1" applyAlignment="1" applyProtection="1">
      <alignment horizontal="left" vertical="center"/>
    </xf>
    <xf numFmtId="0" fontId="25" fillId="0" borderId="40" xfId="0" applyFont="1" applyBorder="1" applyAlignment="1" applyProtection="1">
      <alignment horizontal="left" vertical="center"/>
    </xf>
    <xf numFmtId="0" fontId="17" fillId="0" borderId="0" xfId="0" applyFont="1" applyAlignment="1">
      <alignment horizontal="center" vertical="center"/>
    </xf>
    <xf numFmtId="176" fontId="1" fillId="0" borderId="3" xfId="0" applyNumberFormat="1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6" fontId="17" fillId="0" borderId="40" xfId="0" applyNumberFormat="1" applyFont="1" applyBorder="1" applyAlignment="1" applyProtection="1"/>
    <xf numFmtId="176" fontId="25" fillId="0" borderId="7" xfId="0" applyNumberFormat="1" applyFont="1" applyBorder="1" applyAlignment="1" applyProtection="1">
      <alignment horizontal="left" vertical="center"/>
    </xf>
    <xf numFmtId="176" fontId="17" fillId="0" borderId="42" xfId="0" applyNumberFormat="1" applyFont="1" applyBorder="1" applyAlignment="1" applyProtection="1"/>
    <xf numFmtId="0" fontId="17" fillId="0" borderId="1" xfId="0" applyFont="1" applyBorder="1" applyAlignment="1" applyProtection="1"/>
    <xf numFmtId="0" fontId="17" fillId="0" borderId="56" xfId="0" applyFont="1" applyBorder="1" applyAlignment="1" applyProtection="1"/>
    <xf numFmtId="0" fontId="17" fillId="0" borderId="2" xfId="0" applyFont="1" applyBorder="1" applyAlignment="1" applyProtection="1"/>
    <xf numFmtId="0" fontId="17" fillId="0" borderId="6" xfId="0" applyFont="1" applyBorder="1" applyAlignment="1" applyProtection="1">
      <alignment vertical="center" wrapText="1"/>
    </xf>
    <xf numFmtId="0" fontId="25" fillId="17" borderId="3" xfId="0" applyFont="1" applyFill="1" applyBorder="1" applyAlignment="1" applyProtection="1">
      <alignment horizontal="center"/>
      <protection locked="0"/>
    </xf>
    <xf numFmtId="0" fontId="25" fillId="0" borderId="5" xfId="0" applyFont="1" applyBorder="1" applyAlignment="1" applyProtection="1">
      <alignment horizontal="center" vertical="center"/>
    </xf>
    <xf numFmtId="0" fontId="25" fillId="0" borderId="3" xfId="0" applyFont="1" applyBorder="1" applyAlignment="1" applyProtection="1">
      <alignment horizontal="center"/>
    </xf>
    <xf numFmtId="0" fontId="17" fillId="0" borderId="6" xfId="0" applyFont="1" applyBorder="1" applyAlignment="1" applyProtection="1"/>
    <xf numFmtId="0" fontId="17" fillId="0" borderId="7" xfId="0" applyFont="1" applyBorder="1" applyAlignment="1" applyProtection="1">
      <alignment vertical="center" wrapText="1"/>
    </xf>
    <xf numFmtId="0" fontId="25" fillId="0" borderId="53" xfId="0" applyFont="1" applyBorder="1" applyAlignment="1" applyProtection="1"/>
    <xf numFmtId="0" fontId="25" fillId="0" borderId="8" xfId="0" applyFont="1" applyBorder="1" applyAlignment="1" applyProtection="1">
      <alignment horizontal="center" vertical="center"/>
    </xf>
    <xf numFmtId="10" fontId="1" fillId="0" borderId="0" xfId="0" applyNumberFormat="1" applyFont="1" applyAlignment="1">
      <alignment horizontal="right" vertical="center"/>
    </xf>
    <xf numFmtId="0" fontId="17" fillId="0" borderId="61" xfId="0" applyFont="1" applyBorder="1" applyAlignment="1" applyProtection="1">
      <alignment horizontal="center" vertical="center"/>
    </xf>
    <xf numFmtId="0" fontId="17" fillId="0" borderId="13" xfId="0" applyFont="1" applyBorder="1" applyAlignment="1" applyProtection="1">
      <alignment horizontal="center" vertical="center"/>
    </xf>
    <xf numFmtId="0" fontId="17" fillId="0" borderId="62" xfId="0" applyFont="1" applyBorder="1" applyAlignment="1" applyProtection="1">
      <alignment horizontal="center" vertical="center"/>
    </xf>
    <xf numFmtId="0" fontId="17" fillId="0" borderId="0" xfId="0" applyFont="1" applyAlignment="1"/>
    <xf numFmtId="0" fontId="17" fillId="0" borderId="38" xfId="0" applyFont="1" applyBorder="1" applyAlignment="1" applyProtection="1">
      <alignment horizontal="center" vertical="center"/>
    </xf>
    <xf numFmtId="0" fontId="17" fillId="0" borderId="63" xfId="0" applyFont="1" applyBorder="1" applyAlignment="1" applyProtection="1">
      <alignment horizontal="right" vertical="center"/>
    </xf>
    <xf numFmtId="0" fontId="17" fillId="0" borderId="56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left" vertical="center"/>
    </xf>
    <xf numFmtId="0" fontId="17" fillId="0" borderId="1" xfId="0" applyFont="1" applyBorder="1" applyAlignment="1" applyProtection="1">
      <alignment horizontal="right" vertical="center"/>
    </xf>
    <xf numFmtId="0" fontId="17" fillId="0" borderId="2" xfId="0" applyFont="1" applyBorder="1" applyAlignment="1" applyProtection="1">
      <alignment horizontal="left" vertical="center"/>
    </xf>
    <xf numFmtId="0" fontId="17" fillId="0" borderId="65" xfId="0" applyFont="1" applyBorder="1" applyAlignment="1" applyProtection="1">
      <alignment horizontal="right" vertical="center"/>
    </xf>
    <xf numFmtId="0" fontId="17" fillId="0" borderId="29" xfId="0" applyFont="1" applyBorder="1" applyAlignment="1" applyProtection="1">
      <alignment horizontal="right" vertical="center"/>
    </xf>
    <xf numFmtId="0" fontId="17" fillId="0" borderId="12" xfId="0" applyFont="1" applyBorder="1" applyAlignment="1" applyProtection="1">
      <alignment horizontal="center" vertical="center"/>
    </xf>
    <xf numFmtId="0" fontId="17" fillId="0" borderId="30" xfId="0" applyFont="1" applyBorder="1" applyAlignment="1" applyProtection="1">
      <alignment horizontal="left" vertical="center"/>
    </xf>
    <xf numFmtId="0" fontId="17" fillId="0" borderId="63" xfId="0" applyFont="1" applyBorder="1" applyAlignment="1" applyProtection="1">
      <alignment horizontal="left" vertical="center"/>
    </xf>
    <xf numFmtId="176" fontId="17" fillId="0" borderId="52" xfId="0" applyNumberFormat="1" applyFont="1" applyBorder="1" applyAlignment="1" applyProtection="1">
      <alignment horizontal="right" vertical="center"/>
    </xf>
    <xf numFmtId="176" fontId="17" fillId="0" borderId="2" xfId="0" applyNumberFormat="1" applyFont="1" applyBorder="1" applyAlignment="1" applyProtection="1">
      <alignment horizontal="right" vertical="center"/>
    </xf>
    <xf numFmtId="0" fontId="17" fillId="0" borderId="11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176" fontId="17" fillId="0" borderId="5" xfId="0" applyNumberFormat="1" applyFont="1" applyBorder="1" applyAlignment="1" applyProtection="1">
      <alignment horizontal="right" vertical="center"/>
    </xf>
    <xf numFmtId="176" fontId="17" fillId="0" borderId="8" xfId="0" applyNumberFormat="1" applyFont="1" applyBorder="1" applyAlignment="1" applyProtection="1">
      <alignment horizontal="right" vertical="center"/>
    </xf>
    <xf numFmtId="0" fontId="17" fillId="0" borderId="65" xfId="0" applyFont="1" applyBorder="1" applyAlignment="1" applyProtection="1">
      <alignment horizontal="left" vertical="center"/>
    </xf>
    <xf numFmtId="0" fontId="17" fillId="0" borderId="14" xfId="0" applyFont="1" applyBorder="1" applyAlignment="1" applyProtection="1">
      <alignment horizontal="center" vertical="center"/>
    </xf>
    <xf numFmtId="176" fontId="17" fillId="0" borderId="5" xfId="0" applyNumberFormat="1" applyFont="1" applyBorder="1" applyAlignment="1" applyProtection="1">
      <alignment horizontal="right"/>
    </xf>
    <xf numFmtId="176" fontId="17" fillId="18" borderId="5" xfId="0" applyNumberFormat="1" applyFont="1" applyFill="1" applyBorder="1" applyAlignment="1" applyProtection="1">
      <alignment horizontal="right" vertical="center"/>
    </xf>
    <xf numFmtId="0" fontId="17" fillId="0" borderId="68" xfId="0" applyFont="1" applyBorder="1" applyAlignment="1" applyProtection="1">
      <alignment horizontal="center" vertical="center"/>
    </xf>
    <xf numFmtId="0" fontId="17" fillId="0" borderId="63" xfId="0" applyFont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</xf>
    <xf numFmtId="176" fontId="17" fillId="0" borderId="24" xfId="0" applyNumberFormat="1" applyFont="1" applyBorder="1" applyAlignment="1" applyProtection="1">
      <alignment horizontal="right"/>
    </xf>
    <xf numFmtId="0" fontId="17" fillId="18" borderId="53" xfId="0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/>
    </xf>
    <xf numFmtId="0" fontId="17" fillId="0" borderId="29" xfId="0" applyFont="1" applyBorder="1" applyAlignment="1" applyProtection="1">
      <alignment horizontal="center" vertical="center"/>
    </xf>
    <xf numFmtId="0" fontId="17" fillId="0" borderId="49" xfId="0" applyFont="1" applyBorder="1" applyAlignment="1" applyProtection="1">
      <alignment horizontal="center" vertical="center"/>
    </xf>
    <xf numFmtId="0" fontId="17" fillId="0" borderId="50" xfId="0" applyFont="1" applyBorder="1" applyAlignment="1" applyProtection="1">
      <alignment horizontal="center" vertical="center"/>
    </xf>
    <xf numFmtId="176" fontId="17" fillId="0" borderId="73" xfId="0" applyNumberFormat="1" applyFont="1" applyBorder="1" applyAlignment="1" applyProtection="1">
      <alignment horizontal="center" vertical="center"/>
    </xf>
    <xf numFmtId="49" fontId="1" fillId="0" borderId="5" xfId="0" applyNumberFormat="1" applyFont="1" applyBorder="1" applyAlignment="1" applyProtection="1">
      <alignment horizontal="right"/>
    </xf>
    <xf numFmtId="176" fontId="17" fillId="0" borderId="56" xfId="0" applyNumberFormat="1" applyFont="1" applyBorder="1" applyAlignment="1" applyProtection="1">
      <alignment horizontal="center"/>
    </xf>
    <xf numFmtId="0" fontId="17" fillId="0" borderId="2" xfId="0" applyFont="1" applyBorder="1" applyAlignment="1" applyProtection="1">
      <alignment horizontal="center" vertical="center"/>
    </xf>
    <xf numFmtId="0" fontId="17" fillId="0" borderId="6" xfId="0" applyFont="1" applyBorder="1" applyProtection="1">
      <alignment vertical="center"/>
    </xf>
    <xf numFmtId="176" fontId="17" fillId="0" borderId="3" xfId="0" applyNumberFormat="1" applyFont="1" applyBorder="1" applyAlignment="1" applyProtection="1">
      <alignment horizontal="right"/>
    </xf>
    <xf numFmtId="0" fontId="17" fillId="0" borderId="6" xfId="0" applyFont="1" applyBorder="1" applyAlignment="1" applyProtection="1">
      <alignment wrapText="1"/>
    </xf>
    <xf numFmtId="176" fontId="17" fillId="0" borderId="53" xfId="0" applyNumberFormat="1" applyFont="1" applyBorder="1" applyAlignment="1" applyProtection="1">
      <alignment horizontal="right"/>
    </xf>
    <xf numFmtId="0" fontId="1" fillId="0" borderId="53" xfId="0" applyFont="1" applyBorder="1" applyAlignment="1" applyProtection="1"/>
    <xf numFmtId="0" fontId="1" fillId="0" borderId="8" xfId="0" applyFont="1" applyBorder="1" applyAlignment="1" applyProtection="1"/>
    <xf numFmtId="0" fontId="1" fillId="8" borderId="0" xfId="0" applyFont="1" applyFill="1">
      <alignment vertical="center"/>
    </xf>
    <xf numFmtId="0" fontId="2" fillId="0" borderId="3" xfId="0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0" fontId="1" fillId="0" borderId="0" xfId="0" applyFont="1" applyAlignment="1">
      <alignment horizontal="left" vertical="center"/>
    </xf>
    <xf numFmtId="0" fontId="36" fillId="15" borderId="0" xfId="0" applyFont="1" applyFill="1" applyAlignment="1">
      <alignment vertical="center" wrapText="1"/>
    </xf>
    <xf numFmtId="0" fontId="36" fillId="15" borderId="0" xfId="0" applyFont="1" applyFill="1" applyAlignment="1">
      <alignment vertical="center" wrapText="1"/>
    </xf>
    <xf numFmtId="0" fontId="37" fillId="0" borderId="20" xfId="0" applyFont="1" applyBorder="1" applyAlignment="1">
      <alignment horizontal="right" vertical="center" wrapText="1"/>
    </xf>
    <xf numFmtId="0" fontId="37" fillId="0" borderId="26" xfId="0" applyFont="1" applyBorder="1" applyAlignment="1">
      <alignment vertical="center" wrapText="1"/>
    </xf>
    <xf numFmtId="0" fontId="37" fillId="0" borderId="22" xfId="0" applyFont="1" applyBorder="1" applyAlignment="1">
      <alignment horizontal="right" vertical="center" wrapText="1"/>
    </xf>
    <xf numFmtId="0" fontId="37" fillId="0" borderId="33" xfId="0" applyFont="1" applyBorder="1" applyAlignment="1">
      <alignment vertical="center" wrapText="1"/>
    </xf>
    <xf numFmtId="0" fontId="26" fillId="0" borderId="28" xfId="0" applyFont="1" applyBorder="1" applyAlignment="1" applyProtection="1">
      <alignment horizontal="center" vertical="center"/>
    </xf>
    <xf numFmtId="0" fontId="26" fillId="0" borderId="33" xfId="0" applyFont="1" applyBorder="1" applyAlignment="1" applyProtection="1">
      <alignment horizontal="center" vertical="center"/>
    </xf>
    <xf numFmtId="0" fontId="27" fillId="0" borderId="27" xfId="0" applyFont="1" applyBorder="1" applyAlignment="1" applyProtection="1">
      <alignment horizontal="center" vertical="center"/>
    </xf>
    <xf numFmtId="0" fontId="27" fillId="0" borderId="28" xfId="0" applyFont="1" applyBorder="1" applyAlignment="1" applyProtection="1">
      <alignment horizontal="center" vertical="center"/>
    </xf>
    <xf numFmtId="0" fontId="27" fillId="0" borderId="33" xfId="0" applyFont="1" applyBorder="1" applyAlignment="1" applyProtection="1">
      <alignment horizontal="center" vertical="center"/>
    </xf>
    <xf numFmtId="0" fontId="24" fillId="0" borderId="20" xfId="0" applyFont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/>
    </xf>
    <xf numFmtId="0" fontId="24" fillId="0" borderId="25" xfId="0" applyFont="1" applyBorder="1" applyAlignment="1" applyProtection="1">
      <alignment horizontal="center" vertical="center"/>
    </xf>
    <xf numFmtId="0" fontId="17" fillId="0" borderId="9" xfId="0" applyFont="1" applyBorder="1" applyAlignment="1" applyProtection="1">
      <alignment horizontal="center" vertical="center"/>
    </xf>
    <xf numFmtId="0" fontId="17" fillId="0" borderId="43" xfId="0" applyFont="1" applyBorder="1" applyAlignment="1" applyProtection="1">
      <alignment horizontal="center" vertical="center"/>
    </xf>
    <xf numFmtId="10" fontId="17" fillId="0" borderId="9" xfId="0" applyNumberFormat="1" applyFont="1" applyBorder="1" applyAlignment="1" applyProtection="1">
      <alignment horizontal="center" vertical="center"/>
    </xf>
    <xf numFmtId="10" fontId="17" fillId="0" borderId="43" xfId="0" applyNumberFormat="1" applyFont="1" applyBorder="1" applyAlignment="1" applyProtection="1">
      <alignment horizontal="center" vertical="center"/>
    </xf>
    <xf numFmtId="0" fontId="17" fillId="0" borderId="31" xfId="0" applyFont="1" applyBorder="1" applyAlignment="1" applyProtection="1">
      <alignment horizontal="center" vertical="center"/>
    </xf>
    <xf numFmtId="0" fontId="17" fillId="0" borderId="33" xfId="0" applyFont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</xf>
    <xf numFmtId="0" fontId="17" fillId="0" borderId="28" xfId="0" applyFont="1" applyBorder="1" applyAlignment="1" applyProtection="1">
      <alignment horizontal="center" vertical="center"/>
    </xf>
    <xf numFmtId="0" fontId="17" fillId="0" borderId="64" xfId="0" applyFont="1" applyBorder="1" applyAlignment="1" applyProtection="1">
      <alignment horizontal="center" vertical="center"/>
    </xf>
    <xf numFmtId="0" fontId="17" fillId="0" borderId="66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center" vertical="center"/>
    </xf>
    <xf numFmtId="10" fontId="17" fillId="0" borderId="34" xfId="0" applyNumberFormat="1" applyFont="1" applyBorder="1" applyAlignment="1" applyProtection="1">
      <alignment horizontal="center" vertical="center"/>
    </xf>
    <xf numFmtId="10" fontId="17" fillId="0" borderId="71" xfId="0" applyNumberFormat="1" applyFont="1" applyBorder="1" applyAlignment="1" applyProtection="1">
      <alignment horizontal="center" vertical="center"/>
    </xf>
    <xf numFmtId="10" fontId="25" fillId="0" borderId="9" xfId="0" applyNumberFormat="1" applyFont="1" applyBorder="1" applyAlignment="1" applyProtection="1">
      <alignment horizontal="center" vertical="center"/>
    </xf>
    <xf numFmtId="10" fontId="25" fillId="0" borderId="10" xfId="0" applyNumberFormat="1" applyFont="1" applyBorder="1" applyAlignment="1" applyProtection="1">
      <alignment horizontal="center" vertical="center"/>
    </xf>
    <xf numFmtId="10" fontId="25" fillId="0" borderId="47" xfId="0" applyNumberFormat="1" applyFont="1" applyBorder="1" applyAlignment="1" applyProtection="1">
      <alignment horizontal="center" vertical="center"/>
    </xf>
    <xf numFmtId="10" fontId="25" fillId="0" borderId="37" xfId="0" applyNumberFormat="1" applyFont="1" applyBorder="1" applyAlignment="1" applyProtection="1">
      <alignment horizontal="center" vertical="center"/>
    </xf>
    <xf numFmtId="10" fontId="25" fillId="0" borderId="46" xfId="0" applyNumberFormat="1" applyFont="1" applyBorder="1" applyAlignment="1" applyProtection="1">
      <alignment horizontal="center" vertical="center"/>
    </xf>
    <xf numFmtId="0" fontId="2" fillId="0" borderId="57" xfId="0" applyFont="1" applyBorder="1" applyAlignment="1" applyProtection="1">
      <alignment horizontal="center" vertical="center"/>
    </xf>
    <xf numFmtId="0" fontId="2" fillId="0" borderId="35" xfId="0" applyFont="1" applyBorder="1" applyAlignment="1" applyProtection="1">
      <alignment horizontal="center" vertical="center"/>
    </xf>
    <xf numFmtId="0" fontId="2" fillId="0" borderId="71" xfId="0" applyFont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 wrapText="1"/>
    </xf>
    <xf numFmtId="0" fontId="17" fillId="0" borderId="65" xfId="0" applyFont="1" applyBorder="1" applyAlignment="1" applyProtection="1">
      <alignment horizontal="center" vertical="center" wrapText="1"/>
    </xf>
    <xf numFmtId="0" fontId="17" fillId="0" borderId="61" xfId="0" applyFont="1" applyBorder="1" applyAlignment="1" applyProtection="1">
      <alignment horizontal="center" vertical="center"/>
    </xf>
    <xf numFmtId="0" fontId="17" fillId="0" borderId="67" xfId="0" applyFont="1" applyBorder="1" applyAlignment="1" applyProtection="1">
      <alignment horizontal="center" vertical="center"/>
    </xf>
    <xf numFmtId="0" fontId="17" fillId="0" borderId="69" xfId="0" applyFont="1" applyBorder="1" applyAlignment="1" applyProtection="1">
      <alignment horizontal="center" vertical="center"/>
    </xf>
    <xf numFmtId="0" fontId="17" fillId="0" borderId="70" xfId="0" applyFont="1" applyBorder="1" applyAlignment="1" applyProtection="1">
      <alignment horizontal="center" vertical="center"/>
    </xf>
    <xf numFmtId="0" fontId="27" fillId="0" borderId="16" xfId="0" applyFont="1" applyBorder="1" applyAlignment="1" applyProtection="1">
      <alignment horizontal="center" vertical="center"/>
    </xf>
    <xf numFmtId="0" fontId="27" fillId="0" borderId="4" xfId="0" applyFont="1" applyBorder="1" applyAlignment="1" applyProtection="1">
      <alignment horizontal="center" vertical="center"/>
    </xf>
    <xf numFmtId="0" fontId="27" fillId="0" borderId="22" xfId="0" applyFont="1" applyBorder="1" applyAlignment="1" applyProtection="1">
      <alignment horizontal="center" vertical="center"/>
    </xf>
    <xf numFmtId="0" fontId="26" fillId="7" borderId="58" xfId="0" applyFont="1" applyFill="1" applyBorder="1" applyAlignment="1" applyProtection="1">
      <alignment horizontal="center" vertical="center" textRotation="255"/>
    </xf>
    <xf numFmtId="0" fontId="26" fillId="7" borderId="45" xfId="0" applyFont="1" applyFill="1" applyBorder="1" applyAlignment="1" applyProtection="1">
      <alignment horizontal="center" vertical="center" textRotation="255"/>
    </xf>
    <xf numFmtId="0" fontId="26" fillId="7" borderId="60" xfId="0" applyFont="1" applyFill="1" applyBorder="1" applyAlignment="1" applyProtection="1">
      <alignment horizontal="center" vertical="center" textRotation="255"/>
    </xf>
    <xf numFmtId="10" fontId="5" fillId="0" borderId="31" xfId="0" applyNumberFormat="1" applyFont="1" applyBorder="1" applyAlignment="1" applyProtection="1">
      <alignment horizontal="center" vertical="center"/>
    </xf>
    <xf numFmtId="10" fontId="5" fillId="0" borderId="28" xfId="0" applyNumberFormat="1" applyFont="1" applyBorder="1" applyAlignment="1" applyProtection="1">
      <alignment horizontal="center" vertical="center"/>
    </xf>
    <xf numFmtId="10" fontId="5" fillId="0" borderId="33" xfId="0" applyNumberFormat="1" applyFont="1" applyBorder="1" applyAlignment="1" applyProtection="1">
      <alignment horizontal="center" vertical="center"/>
    </xf>
    <xf numFmtId="176" fontId="1" fillId="8" borderId="44" xfId="0" applyNumberFormat="1" applyFont="1" applyFill="1" applyBorder="1" applyAlignment="1" applyProtection="1">
      <alignment horizontal="center" vertical="center"/>
      <protection locked="0"/>
    </xf>
    <xf numFmtId="176" fontId="1" fillId="8" borderId="19" xfId="0" applyNumberFormat="1" applyFont="1" applyFill="1" applyBorder="1" applyAlignment="1" applyProtection="1">
      <alignment horizontal="center" vertical="center"/>
      <protection locked="0"/>
    </xf>
    <xf numFmtId="0" fontId="31" fillId="7" borderId="59" xfId="0" applyFont="1" applyFill="1" applyBorder="1" applyAlignment="1" applyProtection="1">
      <alignment horizontal="left" vertical="center"/>
    </xf>
    <xf numFmtId="0" fontId="31" fillId="7" borderId="0" xfId="0" applyFont="1" applyFill="1" applyAlignment="1">
      <alignment horizontal="left" vertical="center"/>
    </xf>
    <xf numFmtId="10" fontId="17" fillId="0" borderId="72" xfId="0" applyNumberFormat="1" applyFont="1" applyBorder="1" applyAlignment="1" applyProtection="1">
      <alignment horizontal="center" vertical="center"/>
    </xf>
    <xf numFmtId="10" fontId="17" fillId="0" borderId="44" xfId="0" applyNumberFormat="1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30" fillId="0" borderId="21" xfId="0" applyFont="1" applyBorder="1" applyAlignment="1" applyProtection="1">
      <alignment horizontal="center" vertical="center"/>
    </xf>
    <xf numFmtId="0" fontId="30" fillId="0" borderId="25" xfId="0" applyFont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left" vertical="center"/>
    </xf>
    <xf numFmtId="0" fontId="17" fillId="0" borderId="7" xfId="0" applyFont="1" applyBorder="1" applyAlignment="1" applyProtection="1">
      <alignment horizontal="left" vertical="center"/>
    </xf>
    <xf numFmtId="0" fontId="17" fillId="0" borderId="45" xfId="0" applyFont="1" applyBorder="1" applyAlignment="1" applyProtection="1">
      <alignment horizontal="left" vertical="center"/>
    </xf>
    <xf numFmtId="0" fontId="17" fillId="0" borderId="38" xfId="0" applyFont="1" applyBorder="1" applyAlignment="1" applyProtection="1">
      <alignment horizontal="left" vertical="center"/>
    </xf>
    <xf numFmtId="0" fontId="17" fillId="0" borderId="29" xfId="0" applyFont="1" applyBorder="1" applyAlignment="1" applyProtection="1">
      <alignment horizontal="left" vertical="center"/>
    </xf>
    <xf numFmtId="0" fontId="17" fillId="0" borderId="60" xfId="0" applyFont="1" applyBorder="1" applyAlignment="1" applyProtection="1">
      <alignment horizontal="left" vertical="center"/>
    </xf>
    <xf numFmtId="0" fontId="17" fillId="0" borderId="58" xfId="0" applyFont="1" applyBorder="1" applyAlignment="1" applyProtection="1">
      <alignment horizontal="left" vertical="center"/>
    </xf>
    <xf numFmtId="0" fontId="36" fillId="15" borderId="0" xfId="0" applyFont="1" applyFill="1" applyAlignment="1">
      <alignment vertical="center" wrapText="1"/>
    </xf>
    <xf numFmtId="0" fontId="23" fillId="7" borderId="16" xfId="0" applyFont="1" applyFill="1" applyBorder="1" applyAlignment="1" applyProtection="1">
      <alignment horizontal="center" vertical="center"/>
      <protection locked="0"/>
    </xf>
    <xf numFmtId="0" fontId="23" fillId="7" borderId="17" xfId="0" applyFont="1" applyFill="1" applyBorder="1" applyAlignment="1" applyProtection="1">
      <alignment horizontal="center" vertical="center"/>
      <protection locked="0"/>
    </xf>
    <xf numFmtId="0" fontId="23" fillId="7" borderId="18" xfId="0" applyFont="1" applyFill="1" applyBorder="1" applyAlignment="1" applyProtection="1">
      <alignment horizontal="center" vertical="center"/>
      <protection locked="0"/>
    </xf>
    <xf numFmtId="0" fontId="23" fillId="7" borderId="4" xfId="0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0" fontId="23" fillId="7" borderId="19" xfId="0" applyFont="1" applyFill="1" applyBorder="1" applyAlignment="1" applyProtection="1">
      <alignment horizontal="center" vertical="center"/>
      <protection locked="0"/>
    </xf>
    <xf numFmtId="0" fontId="23" fillId="7" borderId="22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0" fontId="23" fillId="7" borderId="24" xfId="0" applyFont="1" applyFill="1" applyBorder="1" applyAlignment="1" applyProtection="1">
      <alignment horizontal="center" vertical="center"/>
      <protection locked="0"/>
    </xf>
    <xf numFmtId="0" fontId="7" fillId="12" borderId="0" xfId="0" applyFont="1" applyFill="1" applyAlignment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21" fillId="0" borderId="13" xfId="0" applyFont="1" applyBorder="1" applyAlignment="1" applyProtection="1">
      <alignment horizontal="center" vertical="center" wrapText="1"/>
    </xf>
    <xf numFmtId="0" fontId="21" fillId="0" borderId="14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0" borderId="13" xfId="0" applyFont="1" applyBorder="1" applyAlignment="1" applyProtection="1">
      <alignment horizontal="center" vertical="center" wrapText="1"/>
      <protection locked="0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18" fillId="9" borderId="3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\mobile\Containers\Data\Application\622D6DF9-A427-4936-8327-6B6D702AA2E0\Documents\WpsQingCache_\429573001\o\LOCAL-4A08D5D9-036C-4DD5-8799-05D84C0BCEF8\n\F:\Users\&#22831;&#22831;\AppData\Roaming\kingsoft\office6\backup\&#28207;&#21475;&#20449;&#24687;-&#28595;&#22823;&#21033;&#201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运部"/>
      <sheetName val="空运部"/>
    </sheetNames>
    <sheetDataSet>
      <sheetData sheetId="0">
        <row r="2">
          <cell r="H2" t="str">
            <v>Capetown-Melbourne</v>
          </cell>
        </row>
        <row r="5">
          <cell r="H5">
            <v>6</v>
          </cell>
        </row>
        <row r="10">
          <cell r="H10" t="str">
            <v>Capetown-Melbourne</v>
          </cell>
          <cell r="I10">
            <v>1</v>
          </cell>
          <cell r="J10">
            <v>6</v>
          </cell>
        </row>
        <row r="11">
          <cell r="H11" t="str">
            <v>Hamburg-Melbourne</v>
          </cell>
          <cell r="I11">
            <v>2</v>
          </cell>
          <cell r="J11">
            <v>18</v>
          </cell>
        </row>
        <row r="12">
          <cell r="H12" t="str">
            <v>Liverpool-Melbourne</v>
          </cell>
          <cell r="I12">
            <v>3</v>
          </cell>
          <cell r="J12">
            <v>30</v>
          </cell>
        </row>
        <row r="13">
          <cell r="H13" t="str">
            <v>Melbourne-Nagoya</v>
          </cell>
          <cell r="I13">
            <v>4</v>
          </cell>
          <cell r="J13">
            <v>42</v>
          </cell>
        </row>
        <row r="14">
          <cell r="H14" t="str">
            <v>Melbourne-Liverpool</v>
          </cell>
          <cell r="I14">
            <v>5</v>
          </cell>
          <cell r="J14">
            <v>54</v>
          </cell>
        </row>
        <row r="15">
          <cell r="H15" t="str">
            <v>Melbourne-Capetown</v>
          </cell>
          <cell r="I15">
            <v>6</v>
          </cell>
          <cell r="J15">
            <v>66</v>
          </cell>
        </row>
        <row r="16">
          <cell r="H16" t="str">
            <v>Melbourne-New York</v>
          </cell>
          <cell r="I16">
            <v>7</v>
          </cell>
          <cell r="J16">
            <v>78</v>
          </cell>
        </row>
        <row r="17">
          <cell r="H17" t="str">
            <v>Melbourne-Santiagos</v>
          </cell>
          <cell r="I17">
            <v>8</v>
          </cell>
          <cell r="J17">
            <v>90</v>
          </cell>
        </row>
        <row r="18">
          <cell r="H18" t="str">
            <v>Melbourne-Rio De Janeiro</v>
          </cell>
          <cell r="I18">
            <v>9</v>
          </cell>
          <cell r="J18">
            <v>102</v>
          </cell>
        </row>
        <row r="19">
          <cell r="H19" t="str">
            <v>Melbourne-Shanghai</v>
          </cell>
          <cell r="I19">
            <v>10</v>
          </cell>
          <cell r="J19">
            <v>114</v>
          </cell>
        </row>
        <row r="20">
          <cell r="H20" t="str">
            <v>Melbourne-St.Petersburg</v>
          </cell>
          <cell r="I20">
            <v>11</v>
          </cell>
          <cell r="J20">
            <v>126</v>
          </cell>
        </row>
        <row r="21">
          <cell r="H21" t="str">
            <v>Melbourne-Hamburg</v>
          </cell>
          <cell r="I21">
            <v>12</v>
          </cell>
          <cell r="J21">
            <v>138</v>
          </cell>
        </row>
        <row r="22">
          <cell r="H22" t="str">
            <v>Nagoya-Melbourne</v>
          </cell>
          <cell r="I22">
            <v>13</v>
          </cell>
          <cell r="J22">
            <v>150</v>
          </cell>
        </row>
        <row r="23">
          <cell r="H23" t="str">
            <v>New York-Melbourne</v>
          </cell>
          <cell r="I23">
            <v>14</v>
          </cell>
          <cell r="J23">
            <v>162</v>
          </cell>
        </row>
        <row r="24">
          <cell r="H24" t="str">
            <v>Rio De Janeiro-Melbourne</v>
          </cell>
          <cell r="I24">
            <v>15</v>
          </cell>
          <cell r="J24">
            <v>174</v>
          </cell>
        </row>
        <row r="25">
          <cell r="H25" t="str">
            <v>Santiagos-Melbourne</v>
          </cell>
          <cell r="I25">
            <v>16</v>
          </cell>
          <cell r="J25">
            <v>186</v>
          </cell>
        </row>
        <row r="26">
          <cell r="H26" t="str">
            <v>Shanghai-Melbourne</v>
          </cell>
          <cell r="I26">
            <v>17</v>
          </cell>
          <cell r="J26">
            <v>198</v>
          </cell>
        </row>
        <row r="27">
          <cell r="H27" t="str">
            <v>St.Petersburg-Melbourne</v>
          </cell>
          <cell r="I27">
            <v>18</v>
          </cell>
          <cell r="J27">
            <v>210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game.pocib.com/taojin/company/14/jgtj.mht" TargetMode="External"/><Relationship Id="rId3" Type="http://schemas.openxmlformats.org/officeDocument/2006/relationships/hyperlink" Target="http://game.pocib.com/taojin/company/14/jgtj.mht" TargetMode="External"/><Relationship Id="rId7" Type="http://schemas.openxmlformats.org/officeDocument/2006/relationships/hyperlink" Target="http://game.pocib.com/taojin/company/14/jgtj.mht" TargetMode="External"/><Relationship Id="rId12" Type="http://schemas.openxmlformats.org/officeDocument/2006/relationships/hyperlink" Target="http://game.pocib.com/taojin/company/14/jgtj.mht" TargetMode="External"/><Relationship Id="rId2" Type="http://schemas.openxmlformats.org/officeDocument/2006/relationships/hyperlink" Target="http://game.pocib.com/taojin/company/14/jgtj.mht" TargetMode="External"/><Relationship Id="rId1" Type="http://schemas.openxmlformats.org/officeDocument/2006/relationships/hyperlink" Target="http://game.pocib.com/taojin/company/14/jgtj.mht" TargetMode="External"/><Relationship Id="rId6" Type="http://schemas.openxmlformats.org/officeDocument/2006/relationships/hyperlink" Target="http://game.pocib.com/taojin/company/14/jgtj.mht" TargetMode="External"/><Relationship Id="rId11" Type="http://schemas.openxmlformats.org/officeDocument/2006/relationships/hyperlink" Target="http://game.pocib.com/taojin/company/14/jgtj.mht" TargetMode="External"/><Relationship Id="rId5" Type="http://schemas.openxmlformats.org/officeDocument/2006/relationships/hyperlink" Target="http://game.pocib.com/taojin/company/14/jgtj.mht" TargetMode="External"/><Relationship Id="rId10" Type="http://schemas.openxmlformats.org/officeDocument/2006/relationships/hyperlink" Target="http://game.pocib.com/taojin/company/14/jgtj.mht" TargetMode="External"/><Relationship Id="rId4" Type="http://schemas.openxmlformats.org/officeDocument/2006/relationships/hyperlink" Target="http://game.pocib.com/taojin/company/14/jgtj.mht" TargetMode="External"/><Relationship Id="rId9" Type="http://schemas.openxmlformats.org/officeDocument/2006/relationships/hyperlink" Target="http://game.pocib.com/taojin/company/14/jgtj.m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43"/>
  <sheetViews>
    <sheetView workbookViewId="0"/>
  </sheetViews>
  <sheetFormatPr defaultColWidth="9.69140625" defaultRowHeight="13.15" customHeight="1" x14ac:dyDescent="0.35"/>
  <cols>
    <col min="1" max="1" width="20.4609375" style="85" customWidth="1"/>
    <col min="2" max="2" width="14.4609375" style="85" customWidth="1"/>
    <col min="3" max="3" width="11.69140625" style="85" customWidth="1"/>
    <col min="4" max="4" width="13.69140625" style="85" customWidth="1"/>
    <col min="5" max="5" width="11.15234375" style="85" customWidth="1"/>
    <col min="6" max="6" width="19.3046875" style="85" customWidth="1"/>
    <col min="7" max="7" width="20.69140625" style="85" customWidth="1"/>
    <col min="8" max="8" width="32.15234375" style="85" customWidth="1"/>
    <col min="9" max="9" width="9" style="85"/>
    <col min="10" max="10" width="13.15234375" style="85" customWidth="1"/>
    <col min="11" max="11" width="22.84375" style="85" customWidth="1"/>
    <col min="12" max="40" width="9" style="85"/>
  </cols>
  <sheetData>
    <row r="1" spans="1:23" ht="13.15" customHeight="1" x14ac:dyDescent="0.35">
      <c r="A1" s="299" t="s">
        <v>0</v>
      </c>
      <c r="B1" s="299" t="s">
        <v>1</v>
      </c>
      <c r="C1" s="299"/>
      <c r="D1" s="299"/>
      <c r="E1" s="299"/>
      <c r="F1" s="299"/>
      <c r="G1" s="299"/>
      <c r="H1" s="299"/>
      <c r="K1" s="85">
        <v>6</v>
      </c>
      <c r="P1" s="85" t="s">
        <v>0</v>
      </c>
      <c r="Q1" s="85" t="s">
        <v>1</v>
      </c>
    </row>
    <row r="2" spans="1:23" ht="14.15" customHeight="1" x14ac:dyDescent="0.35">
      <c r="A2" s="299" t="s">
        <v>2</v>
      </c>
      <c r="B2" s="299" t="s">
        <v>3</v>
      </c>
      <c r="C2" s="299"/>
      <c r="D2" s="299"/>
      <c r="E2" s="299"/>
      <c r="F2" s="299"/>
      <c r="G2" s="299"/>
      <c r="H2" s="299"/>
      <c r="J2" s="85" t="s">
        <v>4</v>
      </c>
      <c r="K2" s="85" t="s">
        <v>5</v>
      </c>
      <c r="P2" s="85" t="s">
        <v>2</v>
      </c>
      <c r="Q2" s="85" t="s">
        <v>6</v>
      </c>
    </row>
    <row r="3" spans="1:23" ht="13.15" customHeight="1" x14ac:dyDescent="0.35">
      <c r="A3" s="299" t="s">
        <v>7</v>
      </c>
      <c r="B3" s="299" t="s">
        <v>8</v>
      </c>
      <c r="C3" s="299" t="s">
        <v>9</v>
      </c>
      <c r="D3" s="299" t="s">
        <v>10</v>
      </c>
      <c r="E3" s="299" t="s">
        <v>11</v>
      </c>
      <c r="F3" s="299"/>
      <c r="G3" s="299"/>
      <c r="H3" s="299"/>
      <c r="P3" s="85" t="s">
        <v>7</v>
      </c>
      <c r="Q3" s="85" t="s">
        <v>8</v>
      </c>
      <c r="R3" s="85" t="s">
        <v>9</v>
      </c>
      <c r="S3" s="85" t="s">
        <v>10</v>
      </c>
      <c r="T3" s="85" t="s">
        <v>11</v>
      </c>
    </row>
    <row r="4" spans="1:23" ht="13.15" customHeight="1" x14ac:dyDescent="0.35">
      <c r="A4" s="299" t="s">
        <v>12</v>
      </c>
      <c r="B4" s="299" t="s">
        <v>13</v>
      </c>
      <c r="C4" s="299" t="s">
        <v>14</v>
      </c>
      <c r="D4" s="299" t="s">
        <v>15</v>
      </c>
      <c r="E4" s="299" t="s">
        <v>16</v>
      </c>
      <c r="F4" s="299"/>
      <c r="G4" s="299"/>
      <c r="H4" s="299"/>
      <c r="J4" s="85" t="s">
        <v>17</v>
      </c>
      <c r="K4" s="85">
        <v>45</v>
      </c>
      <c r="P4" s="85" t="s">
        <v>12</v>
      </c>
      <c r="Q4" s="85" t="s">
        <v>18</v>
      </c>
      <c r="R4" s="85" t="s">
        <v>19</v>
      </c>
      <c r="S4" s="85" t="s">
        <v>20</v>
      </c>
      <c r="T4" s="85" t="s">
        <v>21</v>
      </c>
    </row>
    <row r="5" spans="1:23" ht="13.15" customHeight="1" x14ac:dyDescent="0.35">
      <c r="A5" s="299" t="s">
        <v>22</v>
      </c>
      <c r="B5" s="299" t="s">
        <v>23</v>
      </c>
      <c r="C5" s="299" t="s">
        <v>24</v>
      </c>
      <c r="D5" s="299" t="s">
        <v>25</v>
      </c>
      <c r="E5" s="299" t="s">
        <v>26</v>
      </c>
      <c r="F5" s="299" t="s">
        <v>27</v>
      </c>
      <c r="G5" s="299" t="s">
        <v>28</v>
      </c>
      <c r="H5" s="299" t="s">
        <v>29</v>
      </c>
      <c r="P5" s="85" t="s">
        <v>22</v>
      </c>
      <c r="Q5" s="85" t="s">
        <v>23</v>
      </c>
      <c r="R5" s="85" t="s">
        <v>24</v>
      </c>
      <c r="S5" s="85" t="s">
        <v>25</v>
      </c>
      <c r="T5" s="85" t="s">
        <v>26</v>
      </c>
      <c r="U5" s="85" t="s">
        <v>27</v>
      </c>
      <c r="V5" s="85" t="s">
        <v>28</v>
      </c>
      <c r="W5" s="85" t="s">
        <v>29</v>
      </c>
    </row>
    <row r="6" spans="1:23" ht="13.15" customHeight="1" x14ac:dyDescent="0.35">
      <c r="A6" s="299"/>
      <c r="B6" s="299">
        <v>715.1</v>
      </c>
      <c r="C6" s="299">
        <v>62</v>
      </c>
      <c r="D6" s="299">
        <v>40.9</v>
      </c>
      <c r="E6" s="299">
        <v>34.5</v>
      </c>
      <c r="F6" s="299">
        <v>34.5</v>
      </c>
      <c r="G6" s="299" t="s">
        <v>30</v>
      </c>
      <c r="H6" s="299" t="s">
        <v>30</v>
      </c>
      <c r="Q6" s="85">
        <v>786.5</v>
      </c>
      <c r="R6" s="85">
        <v>61.5</v>
      </c>
      <c r="S6" s="85">
        <v>43.6</v>
      </c>
      <c r="T6" s="85">
        <v>36.299999999999997</v>
      </c>
      <c r="U6" s="85">
        <v>33.9</v>
      </c>
      <c r="V6" s="85" t="s">
        <v>30</v>
      </c>
      <c r="W6" s="85" t="s">
        <v>30</v>
      </c>
    </row>
    <row r="7" spans="1:23" ht="13.15" customHeight="1" x14ac:dyDescent="0.35">
      <c r="A7" s="299" t="s">
        <v>31</v>
      </c>
      <c r="B7" s="299">
        <v>15</v>
      </c>
      <c r="C7" s="299"/>
      <c r="D7" s="299"/>
      <c r="E7" s="299"/>
      <c r="F7" s="299"/>
      <c r="G7" s="299"/>
      <c r="H7" s="299"/>
      <c r="P7" s="85" t="s">
        <v>31</v>
      </c>
      <c r="Q7" s="85">
        <v>11</v>
      </c>
    </row>
    <row r="9" spans="1:23" ht="13.15" customHeight="1" x14ac:dyDescent="0.35">
      <c r="A9" s="150" t="s">
        <v>32</v>
      </c>
      <c r="P9" s="85" t="s">
        <v>0</v>
      </c>
      <c r="Q9" s="85" t="s">
        <v>33</v>
      </c>
    </row>
    <row r="10" spans="1:23" ht="14.15" customHeight="1" x14ac:dyDescent="0.35">
      <c r="A10" s="307" t="str">
        <f>进出口预算表!B3</f>
        <v>巴西</v>
      </c>
      <c r="B10" s="300" t="s">
        <v>2</v>
      </c>
      <c r="C10" s="85" t="str">
        <f>IF(AND(进出口预算表!B3="澳大利亚",进出口预算表!C3="中国"),空运部!H13,IF(AND(进出口预算表!B3="澳大利亚",进出口预算表!C3="日本"),空运部!H14,IF(AND(进出口预算表!B3="澳大利亚",进出口预算表!C3="俄罗斯"),空运部!H15,IF(AND(进出口预算表!B3="澳大利亚",进出口预算表!C3="英国"),空运部!H16,IF(AND(进出口预算表!B3="澳大利亚",进出口预算表!C3="德国"),空运部!H17,IF(AND(进出口预算表!B3="澳大利亚",进出口预算表!C3="南非"),空运部!H18,IF(AND(进出口预算表!B3="澳大利亚",进出口预算表!C3="美国"),空运部!H19,IF(AND(进出口预算表!B3="澳大利亚",进出口预算表!C3="古巴"),空运部!H20,IF(AND(进出口预算表!B3="澳大利亚",进出口预算表!C3="巴西"),空运部!H21,IF(AND(进出口预算表!B3="南非",进出口预算表!C3="澳大利亚"),空运部!H10,IF(AND(进出口预算表!B3="德国",进出口预算表!C3="澳大利亚"),空运部!H11,IF(AND(进出口预算表!B3="英国",进出口预算表!C3="澳大利亚"),空运部!H12,IF(AND(进出口预算表!B3="美国",进出口预算表!C3="澳大利亚"),空运部!H23,IF(AND(进出口预算表!B3="巴西",进出口预算表!C3="澳大利亚"),空运部!H24,IF(AND(进出口预算表!B3="古巴",进出口预算表!C3="澳大利亚"),空运部!H25,IF(AND(进出口预算表!B3="中国",进出口预算表!C3="澳大利亚"),空运部!H26,IF(AND(进出口预算表!B3="俄罗斯",进出口预算表!C3="澳大利亚"),空运部!H27,IF(AND(进出口预算表!B3="日本",进出口预算表!C3="澳大利亚"),空运部!H22,"此表只包含澳大利亚航线"))))))))))))))))))</f>
        <v>此表只包含澳大利亚航线</v>
      </c>
      <c r="H10" s="85" t="str">
        <f>Q2</f>
        <v>Capetown-Melbourne</v>
      </c>
      <c r="I10" s="85">
        <v>1</v>
      </c>
      <c r="J10" s="85">
        <v>5</v>
      </c>
      <c r="P10" s="85" t="s">
        <v>2</v>
      </c>
      <c r="Q10" s="85" t="s">
        <v>34</v>
      </c>
    </row>
    <row r="11" spans="1:23" ht="13.5" customHeight="1" x14ac:dyDescent="0.35">
      <c r="A11" s="307"/>
      <c r="H11" s="85" t="str">
        <f>Q10</f>
        <v>Hamburg-Melbourne</v>
      </c>
      <c r="I11" s="85">
        <v>2</v>
      </c>
      <c r="J11" s="85">
        <v>13</v>
      </c>
      <c r="P11" s="85" t="s">
        <v>7</v>
      </c>
      <c r="Q11" s="85" t="s">
        <v>35</v>
      </c>
      <c r="R11" s="85" t="s">
        <v>36</v>
      </c>
      <c r="S11" s="85" t="s">
        <v>37</v>
      </c>
      <c r="T11" s="85" t="s">
        <v>38</v>
      </c>
    </row>
    <row r="12" spans="1:23" ht="14.25" customHeight="1" x14ac:dyDescent="0.35">
      <c r="A12" s="308"/>
      <c r="H12" s="85" t="str">
        <f>Q18</f>
        <v>Liverpool-Melbourne</v>
      </c>
      <c r="I12" s="85">
        <v>3</v>
      </c>
      <c r="J12" s="85">
        <v>21</v>
      </c>
      <c r="P12" s="85" t="s">
        <v>12</v>
      </c>
      <c r="Q12" s="85" t="s">
        <v>18</v>
      </c>
      <c r="R12" s="85" t="s">
        <v>19</v>
      </c>
      <c r="S12" s="85" t="s">
        <v>20</v>
      </c>
      <c r="T12" s="85" t="s">
        <v>21</v>
      </c>
    </row>
    <row r="13" spans="1:23" ht="13.15" customHeight="1" x14ac:dyDescent="0.35">
      <c r="A13" s="150" t="s">
        <v>39</v>
      </c>
      <c r="H13" s="85" t="str">
        <f>Q26</f>
        <v>Melbourne-Shanghai</v>
      </c>
      <c r="I13" s="85">
        <v>4</v>
      </c>
      <c r="J13" s="85">
        <v>29</v>
      </c>
      <c r="P13" s="85" t="s">
        <v>22</v>
      </c>
      <c r="Q13" s="85" t="s">
        <v>23</v>
      </c>
      <c r="R13" s="85" t="s">
        <v>24</v>
      </c>
      <c r="S13" s="85" t="s">
        <v>25</v>
      </c>
      <c r="T13" s="85" t="s">
        <v>26</v>
      </c>
      <c r="U13" s="85" t="s">
        <v>27</v>
      </c>
      <c r="V13" s="85" t="s">
        <v>28</v>
      </c>
      <c r="W13" s="85" t="s">
        <v>29</v>
      </c>
    </row>
    <row r="14" spans="1:23" ht="13.5" customHeight="1" x14ac:dyDescent="0.35">
      <c r="A14" s="309" t="str">
        <f>进出口预算表!C3</f>
        <v>俄罗斯</v>
      </c>
      <c r="H14" s="85" t="str">
        <f>Q34</f>
        <v>Melbourne-Nagoya</v>
      </c>
      <c r="I14" s="85">
        <v>5</v>
      </c>
      <c r="J14" s="85">
        <v>37</v>
      </c>
      <c r="Q14" s="85">
        <v>750</v>
      </c>
      <c r="R14" s="85">
        <v>57.5</v>
      </c>
      <c r="S14" s="85">
        <v>51</v>
      </c>
      <c r="T14" s="85">
        <v>47</v>
      </c>
      <c r="U14" s="85">
        <v>46</v>
      </c>
      <c r="V14" s="85" t="s">
        <v>30</v>
      </c>
      <c r="W14" s="85" t="s">
        <v>30</v>
      </c>
    </row>
    <row r="15" spans="1:23" ht="13.5" customHeight="1" x14ac:dyDescent="0.35">
      <c r="A15" s="310"/>
      <c r="H15" s="85" t="str">
        <f>Q42</f>
        <v>Melbourne-St.Petersburg</v>
      </c>
      <c r="I15" s="85">
        <v>6</v>
      </c>
      <c r="J15" s="85">
        <v>45</v>
      </c>
      <c r="P15" s="85" t="s">
        <v>31</v>
      </c>
      <c r="Q15" s="85">
        <v>15</v>
      </c>
    </row>
    <row r="16" spans="1:23" ht="14.25" customHeight="1" x14ac:dyDescent="0.35">
      <c r="A16" s="311"/>
      <c r="H16" s="85" t="str">
        <f>Q50</f>
        <v>Melbourne-Liverpool</v>
      </c>
      <c r="I16" s="85">
        <v>7</v>
      </c>
      <c r="J16" s="85">
        <v>53</v>
      </c>
    </row>
    <row r="17" spans="8:23" ht="13.15" customHeight="1" x14ac:dyDescent="0.35">
      <c r="H17" s="85" t="str">
        <f>Q58</f>
        <v>Melbourne-Hamburg</v>
      </c>
      <c r="I17" s="85">
        <v>8</v>
      </c>
      <c r="J17" s="85">
        <v>61</v>
      </c>
      <c r="P17" s="85" t="s">
        <v>0</v>
      </c>
      <c r="Q17" s="85" t="s">
        <v>40</v>
      </c>
    </row>
    <row r="18" spans="8:23" ht="14.15" customHeight="1" x14ac:dyDescent="0.35">
      <c r="H18" s="85" t="str">
        <f>Q66</f>
        <v>Melbourne-Capetown</v>
      </c>
      <c r="I18" s="85">
        <v>9</v>
      </c>
      <c r="J18" s="85">
        <v>69</v>
      </c>
      <c r="P18" s="85" t="s">
        <v>2</v>
      </c>
      <c r="Q18" s="85" t="s">
        <v>41</v>
      </c>
    </row>
    <row r="19" spans="8:23" ht="13.15" customHeight="1" x14ac:dyDescent="0.35">
      <c r="H19" s="85" t="str">
        <f>Q74</f>
        <v>Melbourne-New York</v>
      </c>
      <c r="I19" s="85">
        <v>10</v>
      </c>
      <c r="J19" s="85">
        <v>77</v>
      </c>
      <c r="P19" s="85" t="s">
        <v>7</v>
      </c>
      <c r="Q19" s="85" t="s">
        <v>42</v>
      </c>
      <c r="R19" s="85" t="s">
        <v>43</v>
      </c>
      <c r="S19" s="85" t="s">
        <v>44</v>
      </c>
      <c r="T19" s="85" t="s">
        <v>45</v>
      </c>
    </row>
    <row r="20" spans="8:23" ht="13.15" customHeight="1" x14ac:dyDescent="0.35">
      <c r="H20" s="85" t="str">
        <f>Q82</f>
        <v>Melbourne-Santiagos</v>
      </c>
      <c r="I20" s="85">
        <v>11</v>
      </c>
      <c r="J20" s="85">
        <v>85</v>
      </c>
      <c r="P20" s="85" t="s">
        <v>12</v>
      </c>
      <c r="Q20" s="85" t="s">
        <v>18</v>
      </c>
      <c r="R20" s="85" t="s">
        <v>19</v>
      </c>
      <c r="S20" s="85" t="s">
        <v>20</v>
      </c>
      <c r="T20" s="85" t="s">
        <v>21</v>
      </c>
    </row>
    <row r="21" spans="8:23" ht="13.15" customHeight="1" x14ac:dyDescent="0.35">
      <c r="H21" s="85" t="str">
        <f>Q90</f>
        <v>Melbourne-Rio De Janeiro</v>
      </c>
      <c r="I21" s="85">
        <v>12</v>
      </c>
      <c r="J21" s="85">
        <v>93</v>
      </c>
      <c r="P21" s="85" t="s">
        <v>22</v>
      </c>
      <c r="Q21" s="85" t="s">
        <v>23</v>
      </c>
      <c r="R21" s="85" t="s">
        <v>24</v>
      </c>
      <c r="S21" s="85" t="s">
        <v>25</v>
      </c>
      <c r="T21" s="85" t="s">
        <v>26</v>
      </c>
      <c r="U21" s="85" t="s">
        <v>27</v>
      </c>
      <c r="V21" s="85" t="s">
        <v>28</v>
      </c>
      <c r="W21" s="85" t="s">
        <v>29</v>
      </c>
    </row>
    <row r="22" spans="8:23" ht="13.15" customHeight="1" x14ac:dyDescent="0.35">
      <c r="H22" s="85" t="str">
        <f>Q98</f>
        <v>Nagoya-Melbourne</v>
      </c>
      <c r="I22" s="85">
        <v>13</v>
      </c>
      <c r="J22" s="85">
        <v>101</v>
      </c>
      <c r="Q22" s="85">
        <v>1053.3</v>
      </c>
      <c r="R22" s="85">
        <v>84.4</v>
      </c>
      <c r="S22" s="85">
        <v>72.099999999999994</v>
      </c>
      <c r="T22" s="85">
        <v>64.2</v>
      </c>
      <c r="U22" s="85">
        <v>59.1</v>
      </c>
      <c r="V22" s="85" t="s">
        <v>30</v>
      </c>
      <c r="W22" s="85" t="s">
        <v>30</v>
      </c>
    </row>
    <row r="23" spans="8:23" ht="13.15" customHeight="1" x14ac:dyDescent="0.35">
      <c r="H23" s="85" t="str">
        <f>Q106</f>
        <v>New York-Melbourne</v>
      </c>
      <c r="I23" s="85">
        <v>14</v>
      </c>
      <c r="J23" s="85">
        <v>109</v>
      </c>
      <c r="P23" s="85" t="s">
        <v>31</v>
      </c>
      <c r="Q23" s="85">
        <v>18</v>
      </c>
    </row>
    <row r="24" spans="8:23" ht="13.15" customHeight="1" x14ac:dyDescent="0.35">
      <c r="H24" s="85" t="str">
        <f>Q114</f>
        <v>Rio De Janeiro-Melbourne</v>
      </c>
      <c r="I24" s="85">
        <v>15</v>
      </c>
      <c r="J24" s="85">
        <v>117</v>
      </c>
    </row>
    <row r="25" spans="8:23" ht="13.15" customHeight="1" x14ac:dyDescent="0.35">
      <c r="H25" s="85" t="str">
        <f>Q122</f>
        <v>Santiagos-Melbourne</v>
      </c>
      <c r="I25" s="85">
        <v>16</v>
      </c>
      <c r="J25" s="85">
        <v>125</v>
      </c>
      <c r="P25" s="85" t="s">
        <v>0</v>
      </c>
      <c r="Q25" s="85" t="s">
        <v>46</v>
      </c>
    </row>
    <row r="26" spans="8:23" ht="14.15" customHeight="1" x14ac:dyDescent="0.35">
      <c r="H26" s="85" t="str">
        <f>Q130</f>
        <v>Shanghai-Melbourne</v>
      </c>
      <c r="I26" s="85">
        <v>17</v>
      </c>
      <c r="J26" s="85">
        <v>133</v>
      </c>
      <c r="P26" s="85" t="s">
        <v>2</v>
      </c>
      <c r="Q26" s="85" t="s">
        <v>47</v>
      </c>
    </row>
    <row r="27" spans="8:23" ht="13.15" customHeight="1" x14ac:dyDescent="0.35">
      <c r="H27" s="85" t="str">
        <f>Q138</f>
        <v>St.Petersburg-Melbourne</v>
      </c>
      <c r="I27" s="85">
        <v>18</v>
      </c>
      <c r="J27" s="85">
        <v>141</v>
      </c>
      <c r="P27" s="85" t="s">
        <v>7</v>
      </c>
      <c r="Q27" s="85" t="s">
        <v>18</v>
      </c>
      <c r="R27" s="85" t="s">
        <v>19</v>
      </c>
      <c r="S27" s="85" t="s">
        <v>20</v>
      </c>
      <c r="T27" s="85" t="s">
        <v>21</v>
      </c>
    </row>
    <row r="28" spans="8:23" ht="13.15" customHeight="1" x14ac:dyDescent="0.35">
      <c r="P28" s="85" t="s">
        <v>12</v>
      </c>
      <c r="Q28" s="85" t="s">
        <v>13</v>
      </c>
      <c r="R28" s="85" t="s">
        <v>14</v>
      </c>
      <c r="S28" s="85" t="s">
        <v>15</v>
      </c>
      <c r="T28" s="85" t="s">
        <v>16</v>
      </c>
    </row>
    <row r="29" spans="8:23" ht="13.15" customHeight="1" x14ac:dyDescent="0.35">
      <c r="P29" s="85" t="s">
        <v>22</v>
      </c>
      <c r="Q29" s="85" t="s">
        <v>23</v>
      </c>
      <c r="R29" s="85" t="s">
        <v>24</v>
      </c>
      <c r="S29" s="85" t="s">
        <v>25</v>
      </c>
      <c r="T29" s="85" t="s">
        <v>26</v>
      </c>
      <c r="U29" s="85" t="s">
        <v>27</v>
      </c>
      <c r="V29" s="85" t="s">
        <v>28</v>
      </c>
      <c r="W29" s="85" t="s">
        <v>29</v>
      </c>
    </row>
    <row r="30" spans="8:23" ht="13.15" customHeight="1" x14ac:dyDescent="0.35">
      <c r="Q30" s="85">
        <v>753.4</v>
      </c>
      <c r="R30" s="85">
        <v>50.7</v>
      </c>
      <c r="S30" s="85">
        <v>36.6</v>
      </c>
      <c r="T30" s="85">
        <v>34.1</v>
      </c>
      <c r="U30" s="85">
        <v>31.5</v>
      </c>
      <c r="V30" s="85" t="s">
        <v>30</v>
      </c>
      <c r="W30" s="85" t="s">
        <v>30</v>
      </c>
    </row>
    <row r="31" spans="8:23" ht="13.15" customHeight="1" x14ac:dyDescent="0.35">
      <c r="P31" s="85" t="s">
        <v>31</v>
      </c>
      <c r="Q31" s="85">
        <v>8</v>
      </c>
    </row>
    <row r="33" spans="16:23" ht="13.15" customHeight="1" x14ac:dyDescent="0.35">
      <c r="P33" s="85" t="s">
        <v>0</v>
      </c>
      <c r="Q33" s="85" t="s">
        <v>46</v>
      </c>
    </row>
    <row r="34" spans="16:23" ht="14.15" customHeight="1" x14ac:dyDescent="0.35">
      <c r="P34" s="85" t="s">
        <v>2</v>
      </c>
      <c r="Q34" s="85" t="s">
        <v>48</v>
      </c>
    </row>
    <row r="35" spans="16:23" ht="13.15" customHeight="1" x14ac:dyDescent="0.35">
      <c r="P35" s="85" t="s">
        <v>7</v>
      </c>
      <c r="Q35" s="85" t="s">
        <v>18</v>
      </c>
      <c r="R35" s="85" t="s">
        <v>19</v>
      </c>
      <c r="S35" s="85" t="s">
        <v>20</v>
      </c>
      <c r="T35" s="85" t="s">
        <v>21</v>
      </c>
    </row>
    <row r="36" spans="16:23" ht="13.15" customHeight="1" x14ac:dyDescent="0.35">
      <c r="P36" s="85" t="s">
        <v>12</v>
      </c>
      <c r="Q36" s="85" t="s">
        <v>49</v>
      </c>
      <c r="R36" s="85" t="s">
        <v>50</v>
      </c>
      <c r="S36" s="85" t="s">
        <v>51</v>
      </c>
      <c r="T36" s="85" t="s">
        <v>52</v>
      </c>
    </row>
    <row r="37" spans="16:23" ht="13.15" customHeight="1" x14ac:dyDescent="0.35">
      <c r="P37" s="85" t="s">
        <v>22</v>
      </c>
      <c r="Q37" s="85" t="s">
        <v>23</v>
      </c>
      <c r="R37" s="85" t="s">
        <v>24</v>
      </c>
      <c r="S37" s="85" t="s">
        <v>25</v>
      </c>
      <c r="T37" s="85" t="s">
        <v>26</v>
      </c>
      <c r="U37" s="85" t="s">
        <v>27</v>
      </c>
      <c r="V37" s="85" t="s">
        <v>28</v>
      </c>
      <c r="W37" s="85" t="s">
        <v>29</v>
      </c>
    </row>
    <row r="38" spans="16:23" ht="13.15" customHeight="1" x14ac:dyDescent="0.35">
      <c r="Q38" s="85">
        <v>778.9</v>
      </c>
      <c r="R38" s="85">
        <v>63.5</v>
      </c>
      <c r="S38" s="85">
        <v>58.3</v>
      </c>
      <c r="T38" s="85">
        <v>36</v>
      </c>
      <c r="U38" s="85">
        <v>30.8</v>
      </c>
      <c r="V38" s="85" t="s">
        <v>30</v>
      </c>
      <c r="W38" s="85" t="s">
        <v>30</v>
      </c>
    </row>
    <row r="39" spans="16:23" ht="13.15" customHeight="1" x14ac:dyDescent="0.35">
      <c r="P39" s="85" t="s">
        <v>31</v>
      </c>
      <c r="Q39" s="85">
        <v>9</v>
      </c>
    </row>
    <row r="41" spans="16:23" ht="13.15" customHeight="1" x14ac:dyDescent="0.35">
      <c r="P41" s="85" t="s">
        <v>0</v>
      </c>
      <c r="Q41" s="85" t="s">
        <v>46</v>
      </c>
    </row>
    <row r="42" spans="16:23" ht="14.15" customHeight="1" x14ac:dyDescent="0.35">
      <c r="P42" s="85" t="s">
        <v>2</v>
      </c>
      <c r="Q42" s="85" t="s">
        <v>5</v>
      </c>
    </row>
    <row r="43" spans="16:23" ht="13.15" customHeight="1" x14ac:dyDescent="0.35">
      <c r="P43" s="85" t="s">
        <v>7</v>
      </c>
      <c r="Q43" s="85" t="s">
        <v>18</v>
      </c>
      <c r="R43" s="85" t="s">
        <v>19</v>
      </c>
      <c r="S43" s="85" t="s">
        <v>20</v>
      </c>
      <c r="T43" s="85" t="s">
        <v>21</v>
      </c>
    </row>
    <row r="44" spans="16:23" ht="13.15" customHeight="1" x14ac:dyDescent="0.35">
      <c r="P44" s="85" t="s">
        <v>12</v>
      </c>
      <c r="Q44" s="85" t="s">
        <v>53</v>
      </c>
      <c r="R44" s="85" t="s">
        <v>54</v>
      </c>
      <c r="S44" s="85" t="s">
        <v>55</v>
      </c>
      <c r="T44" s="85" t="s">
        <v>56</v>
      </c>
    </row>
    <row r="45" spans="16:23" ht="13.15" customHeight="1" x14ac:dyDescent="0.35">
      <c r="P45" s="85" t="s">
        <v>22</v>
      </c>
      <c r="Q45" s="85" t="s">
        <v>23</v>
      </c>
      <c r="R45" s="85" t="s">
        <v>24</v>
      </c>
      <c r="S45" s="85" t="s">
        <v>25</v>
      </c>
      <c r="T45" s="85" t="s">
        <v>26</v>
      </c>
      <c r="U45" s="85" t="s">
        <v>27</v>
      </c>
      <c r="V45" s="85" t="s">
        <v>28</v>
      </c>
      <c r="W45" s="85" t="s">
        <v>29</v>
      </c>
    </row>
    <row r="46" spans="16:23" ht="13.15" customHeight="1" x14ac:dyDescent="0.35">
      <c r="Q46" s="85">
        <v>715.1</v>
      </c>
      <c r="R46" s="85">
        <v>62</v>
      </c>
      <c r="S46" s="85">
        <v>40.9</v>
      </c>
      <c r="T46" s="85">
        <v>34.5</v>
      </c>
      <c r="U46" s="85">
        <v>34.5</v>
      </c>
      <c r="V46" s="85" t="s">
        <v>30</v>
      </c>
      <c r="W46" s="85" t="s">
        <v>30</v>
      </c>
    </row>
    <row r="47" spans="16:23" ht="13.15" customHeight="1" x14ac:dyDescent="0.35">
      <c r="P47" s="85" t="s">
        <v>31</v>
      </c>
      <c r="Q47" s="85">
        <v>15</v>
      </c>
    </row>
    <row r="49" spans="16:23" ht="13.15" customHeight="1" x14ac:dyDescent="0.35">
      <c r="P49" s="85" t="s">
        <v>0</v>
      </c>
      <c r="Q49" s="85" t="s">
        <v>46</v>
      </c>
    </row>
    <row r="50" spans="16:23" ht="14.15" customHeight="1" x14ac:dyDescent="0.35">
      <c r="P50" s="85" t="s">
        <v>2</v>
      </c>
      <c r="Q50" s="85" t="s">
        <v>57</v>
      </c>
    </row>
    <row r="51" spans="16:23" ht="13.15" customHeight="1" x14ac:dyDescent="0.35">
      <c r="P51" s="85" t="s">
        <v>7</v>
      </c>
      <c r="Q51" s="85" t="s">
        <v>18</v>
      </c>
      <c r="R51" s="85" t="s">
        <v>19</v>
      </c>
      <c r="S51" s="85" t="s">
        <v>20</v>
      </c>
      <c r="T51" s="85" t="s">
        <v>21</v>
      </c>
    </row>
    <row r="52" spans="16:23" ht="13.15" customHeight="1" x14ac:dyDescent="0.35">
      <c r="P52" s="85" t="s">
        <v>12</v>
      </c>
      <c r="Q52" s="85" t="s">
        <v>42</v>
      </c>
      <c r="R52" s="85" t="s">
        <v>43</v>
      </c>
      <c r="S52" s="85" t="s">
        <v>44</v>
      </c>
      <c r="T52" s="85" t="s">
        <v>45</v>
      </c>
    </row>
    <row r="53" spans="16:23" ht="13.15" customHeight="1" x14ac:dyDescent="0.35">
      <c r="P53" s="85" t="s">
        <v>22</v>
      </c>
      <c r="Q53" s="85" t="s">
        <v>23</v>
      </c>
      <c r="R53" s="85" t="s">
        <v>24</v>
      </c>
      <c r="S53" s="85" t="s">
        <v>25</v>
      </c>
      <c r="T53" s="85" t="s">
        <v>26</v>
      </c>
      <c r="U53" s="85" t="s">
        <v>27</v>
      </c>
      <c r="V53" s="85" t="s">
        <v>28</v>
      </c>
      <c r="W53" s="85" t="s">
        <v>29</v>
      </c>
    </row>
    <row r="54" spans="16:23" ht="13.15" customHeight="1" x14ac:dyDescent="0.35">
      <c r="Q54" s="85">
        <v>1021.5</v>
      </c>
      <c r="R54" s="85">
        <v>77.3</v>
      </c>
      <c r="S54" s="85">
        <v>67.7</v>
      </c>
      <c r="T54" s="85">
        <v>61.9</v>
      </c>
      <c r="U54" s="85">
        <v>57.4</v>
      </c>
      <c r="V54" s="85" t="s">
        <v>30</v>
      </c>
      <c r="W54" s="85" t="s">
        <v>30</v>
      </c>
    </row>
    <row r="55" spans="16:23" ht="13.15" customHeight="1" x14ac:dyDescent="0.35">
      <c r="P55" s="85" t="s">
        <v>31</v>
      </c>
      <c r="Q55" s="85">
        <v>18</v>
      </c>
    </row>
    <row r="57" spans="16:23" ht="13.15" customHeight="1" x14ac:dyDescent="0.35">
      <c r="P57" s="85" t="s">
        <v>0</v>
      </c>
      <c r="Q57" s="85" t="s">
        <v>46</v>
      </c>
    </row>
    <row r="58" spans="16:23" ht="14.15" customHeight="1" x14ac:dyDescent="0.35">
      <c r="P58" s="85" t="s">
        <v>2</v>
      </c>
      <c r="Q58" s="85" t="s">
        <v>58</v>
      </c>
    </row>
    <row r="59" spans="16:23" ht="13.15" customHeight="1" x14ac:dyDescent="0.35">
      <c r="P59" s="85" t="s">
        <v>7</v>
      </c>
      <c r="Q59" s="85" t="s">
        <v>18</v>
      </c>
      <c r="R59" s="85" t="s">
        <v>19</v>
      </c>
      <c r="S59" s="85" t="s">
        <v>20</v>
      </c>
      <c r="T59" s="85" t="s">
        <v>21</v>
      </c>
    </row>
    <row r="60" spans="16:23" ht="13.15" customHeight="1" x14ac:dyDescent="0.35">
      <c r="P60" s="85" t="s">
        <v>12</v>
      </c>
      <c r="Q60" s="85" t="s">
        <v>35</v>
      </c>
      <c r="R60" s="85" t="s">
        <v>36</v>
      </c>
      <c r="S60" s="85" t="s">
        <v>37</v>
      </c>
      <c r="T60" s="85" t="s">
        <v>38</v>
      </c>
    </row>
    <row r="61" spans="16:23" ht="13.15" customHeight="1" x14ac:dyDescent="0.35">
      <c r="P61" s="85" t="s">
        <v>22</v>
      </c>
      <c r="Q61" s="85" t="s">
        <v>23</v>
      </c>
      <c r="R61" s="85" t="s">
        <v>24</v>
      </c>
      <c r="S61" s="85" t="s">
        <v>25</v>
      </c>
      <c r="T61" s="85" t="s">
        <v>26</v>
      </c>
      <c r="U61" s="85" t="s">
        <v>27</v>
      </c>
      <c r="V61" s="85" t="s">
        <v>28</v>
      </c>
      <c r="W61" s="85" t="s">
        <v>29</v>
      </c>
    </row>
    <row r="62" spans="16:23" ht="13.15" customHeight="1" x14ac:dyDescent="0.35">
      <c r="Q62" s="85">
        <v>830</v>
      </c>
      <c r="R62" s="85">
        <v>69.900000000000006</v>
      </c>
      <c r="S62" s="85">
        <v>46</v>
      </c>
      <c r="T62" s="85">
        <v>38.299999999999997</v>
      </c>
      <c r="U62" s="85">
        <v>36.4</v>
      </c>
      <c r="V62" s="85" t="s">
        <v>30</v>
      </c>
      <c r="W62" s="85" t="s">
        <v>30</v>
      </c>
    </row>
    <row r="63" spans="16:23" ht="13.15" customHeight="1" x14ac:dyDescent="0.35">
      <c r="P63" s="85" t="s">
        <v>31</v>
      </c>
      <c r="Q63" s="85">
        <v>15</v>
      </c>
    </row>
    <row r="65" spans="16:23" ht="13.15" customHeight="1" x14ac:dyDescent="0.35">
      <c r="P65" s="85" t="s">
        <v>0</v>
      </c>
      <c r="Q65" s="85" t="s">
        <v>46</v>
      </c>
    </row>
    <row r="66" spans="16:23" ht="14.15" customHeight="1" x14ac:dyDescent="0.35">
      <c r="P66" s="85" t="s">
        <v>2</v>
      </c>
      <c r="Q66" s="85" t="s">
        <v>59</v>
      </c>
    </row>
    <row r="67" spans="16:23" ht="13.15" customHeight="1" x14ac:dyDescent="0.35">
      <c r="P67" s="85" t="s">
        <v>7</v>
      </c>
      <c r="Q67" s="85" t="s">
        <v>18</v>
      </c>
      <c r="R67" s="85" t="s">
        <v>19</v>
      </c>
      <c r="S67" s="85" t="s">
        <v>20</v>
      </c>
      <c r="T67" s="85" t="s">
        <v>21</v>
      </c>
    </row>
    <row r="68" spans="16:23" ht="13.15" customHeight="1" x14ac:dyDescent="0.35">
      <c r="P68" s="85" t="s">
        <v>12</v>
      </c>
      <c r="Q68" s="85" t="s">
        <v>8</v>
      </c>
      <c r="R68" s="85" t="s">
        <v>9</v>
      </c>
      <c r="S68" s="85" t="s">
        <v>10</v>
      </c>
      <c r="T68" s="85" t="s">
        <v>11</v>
      </c>
    </row>
    <row r="69" spans="16:23" ht="13.15" customHeight="1" x14ac:dyDescent="0.35">
      <c r="P69" s="85" t="s">
        <v>22</v>
      </c>
      <c r="Q69" s="85" t="s">
        <v>23</v>
      </c>
      <c r="R69" s="85" t="s">
        <v>24</v>
      </c>
      <c r="S69" s="85" t="s">
        <v>25</v>
      </c>
      <c r="T69" s="85" t="s">
        <v>26</v>
      </c>
      <c r="U69" s="85" t="s">
        <v>27</v>
      </c>
      <c r="V69" s="85" t="s">
        <v>28</v>
      </c>
      <c r="W69" s="85" t="s">
        <v>29</v>
      </c>
    </row>
    <row r="70" spans="16:23" ht="13.15" customHeight="1" x14ac:dyDescent="0.35">
      <c r="Q70" s="85">
        <v>817.2</v>
      </c>
      <c r="R70" s="85">
        <v>70.900000000000006</v>
      </c>
      <c r="S70" s="85">
        <v>61.7</v>
      </c>
      <c r="T70" s="85">
        <v>48.9</v>
      </c>
      <c r="U70" s="85">
        <v>43.6</v>
      </c>
      <c r="V70" s="85" t="s">
        <v>30</v>
      </c>
      <c r="W70" s="85" t="s">
        <v>30</v>
      </c>
    </row>
    <row r="71" spans="16:23" ht="13.15" customHeight="1" x14ac:dyDescent="0.35">
      <c r="P71" s="85" t="s">
        <v>31</v>
      </c>
      <c r="Q71" s="85">
        <v>11</v>
      </c>
    </row>
    <row r="73" spans="16:23" ht="13.15" customHeight="1" x14ac:dyDescent="0.35">
      <c r="P73" s="85" t="s">
        <v>0</v>
      </c>
      <c r="Q73" s="85" t="s">
        <v>46</v>
      </c>
    </row>
    <row r="74" spans="16:23" ht="14.15" customHeight="1" x14ac:dyDescent="0.35">
      <c r="P74" s="85" t="s">
        <v>2</v>
      </c>
      <c r="Q74" s="85" t="s">
        <v>60</v>
      </c>
    </row>
    <row r="75" spans="16:23" ht="13.15" customHeight="1" x14ac:dyDescent="0.35">
      <c r="P75" s="85" t="s">
        <v>7</v>
      </c>
      <c r="Q75" s="85" t="s">
        <v>18</v>
      </c>
      <c r="R75" s="85" t="s">
        <v>19</v>
      </c>
      <c r="S75" s="85" t="s">
        <v>20</v>
      </c>
      <c r="T75" s="85" t="s">
        <v>21</v>
      </c>
    </row>
    <row r="76" spans="16:23" ht="13.15" customHeight="1" x14ac:dyDescent="0.35">
      <c r="P76" s="85" t="s">
        <v>12</v>
      </c>
      <c r="Q76" s="85" t="s">
        <v>61</v>
      </c>
      <c r="R76" s="85" t="s">
        <v>62</v>
      </c>
      <c r="S76" s="85" t="s">
        <v>63</v>
      </c>
      <c r="T76" s="85" t="s">
        <v>64</v>
      </c>
    </row>
    <row r="77" spans="16:23" ht="13.15" customHeight="1" x14ac:dyDescent="0.35">
      <c r="P77" s="85" t="s">
        <v>22</v>
      </c>
      <c r="Q77" s="85" t="s">
        <v>23</v>
      </c>
      <c r="R77" s="85" t="s">
        <v>24</v>
      </c>
      <c r="S77" s="85" t="s">
        <v>25</v>
      </c>
      <c r="T77" s="85" t="s">
        <v>26</v>
      </c>
      <c r="U77" s="85" t="s">
        <v>27</v>
      </c>
      <c r="V77" s="85" t="s">
        <v>28</v>
      </c>
      <c r="W77" s="85" t="s">
        <v>29</v>
      </c>
    </row>
    <row r="78" spans="16:23" ht="13.15" customHeight="1" x14ac:dyDescent="0.35">
      <c r="Q78" s="85">
        <v>778.9</v>
      </c>
      <c r="R78" s="85">
        <v>70.2</v>
      </c>
      <c r="S78" s="85">
        <v>61.1</v>
      </c>
      <c r="T78" s="85">
        <v>49.2</v>
      </c>
      <c r="U78" s="85">
        <v>46.6</v>
      </c>
      <c r="V78" s="85" t="s">
        <v>30</v>
      </c>
      <c r="W78" s="85" t="s">
        <v>30</v>
      </c>
    </row>
    <row r="79" spans="16:23" ht="13.15" customHeight="1" x14ac:dyDescent="0.35">
      <c r="P79" s="85" t="s">
        <v>31</v>
      </c>
      <c r="Q79" s="85">
        <v>13</v>
      </c>
    </row>
    <row r="81" spans="16:23" ht="13.15" customHeight="1" x14ac:dyDescent="0.35">
      <c r="P81" s="85" t="s">
        <v>0</v>
      </c>
      <c r="Q81" s="85" t="s">
        <v>46</v>
      </c>
    </row>
    <row r="82" spans="16:23" ht="14.15" customHeight="1" x14ac:dyDescent="0.35">
      <c r="P82" s="85" t="s">
        <v>2</v>
      </c>
      <c r="Q82" s="85" t="s">
        <v>65</v>
      </c>
    </row>
    <row r="83" spans="16:23" ht="13.15" customHeight="1" x14ac:dyDescent="0.35">
      <c r="P83" s="85" t="s">
        <v>7</v>
      </c>
      <c r="Q83" s="85" t="s">
        <v>18</v>
      </c>
      <c r="R83" s="85" t="s">
        <v>19</v>
      </c>
      <c r="S83" s="85" t="s">
        <v>20</v>
      </c>
      <c r="T83" s="85" t="s">
        <v>21</v>
      </c>
    </row>
    <row r="84" spans="16:23" ht="13.15" customHeight="1" x14ac:dyDescent="0.35">
      <c r="P84" s="85" t="s">
        <v>12</v>
      </c>
      <c r="Q84" s="85" t="s">
        <v>66</v>
      </c>
      <c r="R84" s="85" t="s">
        <v>67</v>
      </c>
      <c r="S84" s="85" t="s">
        <v>68</v>
      </c>
      <c r="T84" s="85" t="s">
        <v>69</v>
      </c>
    </row>
    <row r="85" spans="16:23" ht="13.15" customHeight="1" x14ac:dyDescent="0.35">
      <c r="P85" s="85" t="s">
        <v>22</v>
      </c>
      <c r="Q85" s="85" t="s">
        <v>23</v>
      </c>
      <c r="R85" s="85" t="s">
        <v>24</v>
      </c>
      <c r="S85" s="85" t="s">
        <v>25</v>
      </c>
      <c r="T85" s="85" t="s">
        <v>26</v>
      </c>
      <c r="U85" s="85" t="s">
        <v>27</v>
      </c>
      <c r="V85" s="85" t="s">
        <v>28</v>
      </c>
      <c r="W85" s="85" t="s">
        <v>29</v>
      </c>
    </row>
    <row r="86" spans="16:23" ht="13.15" customHeight="1" x14ac:dyDescent="0.35">
      <c r="Q86" s="85">
        <v>587.4</v>
      </c>
      <c r="R86" s="85">
        <v>51.8</v>
      </c>
      <c r="S86" s="85">
        <v>39</v>
      </c>
      <c r="T86" s="85">
        <v>28.7</v>
      </c>
      <c r="U86" s="85">
        <v>25.7</v>
      </c>
      <c r="V86" s="85" t="s">
        <v>30</v>
      </c>
      <c r="W86" s="85" t="s">
        <v>30</v>
      </c>
    </row>
    <row r="87" spans="16:23" ht="13.15" customHeight="1" x14ac:dyDescent="0.35">
      <c r="P87" s="85" t="s">
        <v>31</v>
      </c>
      <c r="Q87" s="85">
        <v>10</v>
      </c>
    </row>
    <row r="89" spans="16:23" ht="13.15" customHeight="1" x14ac:dyDescent="0.35">
      <c r="P89" s="85" t="s">
        <v>0</v>
      </c>
      <c r="Q89" s="85" t="s">
        <v>46</v>
      </c>
    </row>
    <row r="90" spans="16:23" ht="14.15" customHeight="1" x14ac:dyDescent="0.35">
      <c r="P90" s="85" t="s">
        <v>2</v>
      </c>
      <c r="Q90" s="85" t="s">
        <v>70</v>
      </c>
    </row>
    <row r="91" spans="16:23" ht="13.15" customHeight="1" x14ac:dyDescent="0.35">
      <c r="P91" s="85" t="s">
        <v>7</v>
      </c>
      <c r="Q91" s="85" t="s">
        <v>18</v>
      </c>
      <c r="R91" s="85" t="s">
        <v>19</v>
      </c>
      <c r="S91" s="85" t="s">
        <v>20</v>
      </c>
      <c r="T91" s="85" t="s">
        <v>21</v>
      </c>
    </row>
    <row r="92" spans="16:23" ht="13.15" customHeight="1" x14ac:dyDescent="0.35">
      <c r="P92" s="85" t="s">
        <v>12</v>
      </c>
      <c r="Q92" s="85" t="s">
        <v>71</v>
      </c>
      <c r="R92" s="85" t="s">
        <v>72</v>
      </c>
      <c r="S92" s="85" t="s">
        <v>73</v>
      </c>
      <c r="T92" s="85" t="s">
        <v>74</v>
      </c>
    </row>
    <row r="93" spans="16:23" ht="13.15" customHeight="1" x14ac:dyDescent="0.35">
      <c r="P93" s="85" t="s">
        <v>22</v>
      </c>
      <c r="Q93" s="85" t="s">
        <v>23</v>
      </c>
      <c r="R93" s="85" t="s">
        <v>24</v>
      </c>
      <c r="S93" s="85" t="s">
        <v>25</v>
      </c>
      <c r="T93" s="85" t="s">
        <v>26</v>
      </c>
      <c r="U93" s="85" t="s">
        <v>27</v>
      </c>
      <c r="V93" s="85" t="s">
        <v>28</v>
      </c>
      <c r="W93" s="85" t="s">
        <v>29</v>
      </c>
    </row>
    <row r="94" spans="16:23" ht="13.15" customHeight="1" x14ac:dyDescent="0.35">
      <c r="Q94" s="85">
        <v>944.9</v>
      </c>
      <c r="R94" s="85">
        <v>74.7</v>
      </c>
      <c r="S94" s="85">
        <v>65.099999999999994</v>
      </c>
      <c r="T94" s="85">
        <v>58.1</v>
      </c>
      <c r="U94" s="85">
        <v>53.7</v>
      </c>
      <c r="V94" s="85" t="s">
        <v>30</v>
      </c>
      <c r="W94" s="85" t="s">
        <v>30</v>
      </c>
    </row>
    <row r="95" spans="16:23" ht="13.15" customHeight="1" x14ac:dyDescent="0.35">
      <c r="P95" s="85" t="s">
        <v>31</v>
      </c>
      <c r="Q95" s="85">
        <v>11</v>
      </c>
    </row>
    <row r="97" spans="16:23" ht="13.15" customHeight="1" x14ac:dyDescent="0.35">
      <c r="P97" s="85" t="s">
        <v>0</v>
      </c>
      <c r="Q97" s="85" t="s">
        <v>75</v>
      </c>
    </row>
    <row r="98" spans="16:23" ht="14.15" customHeight="1" x14ac:dyDescent="0.35">
      <c r="P98" s="85" t="s">
        <v>2</v>
      </c>
      <c r="Q98" s="85" t="s">
        <v>76</v>
      </c>
    </row>
    <row r="99" spans="16:23" ht="13.15" customHeight="1" x14ac:dyDescent="0.35">
      <c r="P99" s="85" t="s">
        <v>7</v>
      </c>
      <c r="Q99" s="85" t="s">
        <v>49</v>
      </c>
      <c r="R99" s="85" t="s">
        <v>50</v>
      </c>
      <c r="S99" s="85" t="s">
        <v>51</v>
      </c>
      <c r="T99" s="85" t="s">
        <v>52</v>
      </c>
    </row>
    <row r="100" spans="16:23" ht="13.15" customHeight="1" x14ac:dyDescent="0.35">
      <c r="P100" s="85" t="s">
        <v>12</v>
      </c>
      <c r="Q100" s="85" t="s">
        <v>18</v>
      </c>
      <c r="R100" s="85" t="s">
        <v>19</v>
      </c>
      <c r="S100" s="85" t="s">
        <v>20</v>
      </c>
      <c r="T100" s="85" t="s">
        <v>21</v>
      </c>
    </row>
    <row r="101" spans="16:23" ht="13.15" customHeight="1" x14ac:dyDescent="0.35">
      <c r="P101" s="85" t="s">
        <v>22</v>
      </c>
      <c r="Q101" s="85" t="s">
        <v>23</v>
      </c>
      <c r="R101" s="85" t="s">
        <v>24</v>
      </c>
      <c r="S101" s="85" t="s">
        <v>25</v>
      </c>
      <c r="T101" s="85" t="s">
        <v>26</v>
      </c>
      <c r="U101" s="85" t="s">
        <v>27</v>
      </c>
      <c r="V101" s="85" t="s">
        <v>28</v>
      </c>
      <c r="W101" s="85" t="s">
        <v>29</v>
      </c>
    </row>
    <row r="102" spans="16:23" ht="13.15" customHeight="1" x14ac:dyDescent="0.35">
      <c r="Q102" s="85">
        <v>847.9</v>
      </c>
      <c r="R102" s="85">
        <v>69.400000000000006</v>
      </c>
      <c r="S102" s="85">
        <v>62.5</v>
      </c>
      <c r="T102" s="85">
        <v>38.5</v>
      </c>
      <c r="U102" s="85">
        <v>35.9</v>
      </c>
      <c r="V102" s="85" t="s">
        <v>30</v>
      </c>
      <c r="W102" s="85" t="s">
        <v>30</v>
      </c>
    </row>
    <row r="103" spans="16:23" ht="13.15" customHeight="1" x14ac:dyDescent="0.35">
      <c r="P103" s="85" t="s">
        <v>31</v>
      </c>
      <c r="Q103" s="85">
        <v>9</v>
      </c>
    </row>
    <row r="105" spans="16:23" ht="13.15" customHeight="1" x14ac:dyDescent="0.35">
      <c r="P105" s="85" t="s">
        <v>0</v>
      </c>
      <c r="Q105" s="85" t="s">
        <v>77</v>
      </c>
    </row>
    <row r="106" spans="16:23" ht="14.15" customHeight="1" x14ac:dyDescent="0.35">
      <c r="P106" s="85" t="s">
        <v>2</v>
      </c>
      <c r="Q106" s="85" t="s">
        <v>78</v>
      </c>
    </row>
    <row r="107" spans="16:23" ht="13.15" customHeight="1" x14ac:dyDescent="0.35">
      <c r="P107" s="85" t="s">
        <v>7</v>
      </c>
      <c r="Q107" s="85" t="s">
        <v>61</v>
      </c>
      <c r="R107" s="85" t="s">
        <v>62</v>
      </c>
      <c r="S107" s="85" t="s">
        <v>63</v>
      </c>
      <c r="T107" s="85" t="s">
        <v>64</v>
      </c>
    </row>
    <row r="108" spans="16:23" ht="13.15" customHeight="1" x14ac:dyDescent="0.35">
      <c r="P108" s="85" t="s">
        <v>12</v>
      </c>
      <c r="Q108" s="85" t="s">
        <v>18</v>
      </c>
      <c r="R108" s="85" t="s">
        <v>19</v>
      </c>
      <c r="S108" s="85" t="s">
        <v>20</v>
      </c>
      <c r="T108" s="85" t="s">
        <v>21</v>
      </c>
    </row>
    <row r="109" spans="16:23" ht="13.15" customHeight="1" x14ac:dyDescent="0.35">
      <c r="P109" s="85" t="s">
        <v>22</v>
      </c>
      <c r="Q109" s="85" t="s">
        <v>23</v>
      </c>
      <c r="R109" s="85" t="s">
        <v>24</v>
      </c>
      <c r="S109" s="85" t="s">
        <v>25</v>
      </c>
      <c r="T109" s="85" t="s">
        <v>26</v>
      </c>
      <c r="U109" s="85" t="s">
        <v>27</v>
      </c>
      <c r="V109" s="85" t="s">
        <v>28</v>
      </c>
      <c r="W109" s="85" t="s">
        <v>29</v>
      </c>
    </row>
    <row r="110" spans="16:23" ht="13.15" customHeight="1" x14ac:dyDescent="0.35">
      <c r="Q110" s="85">
        <v>568.70000000000005</v>
      </c>
      <c r="R110" s="85">
        <v>56.2</v>
      </c>
      <c r="S110" s="85">
        <v>43</v>
      </c>
      <c r="T110" s="85">
        <v>31</v>
      </c>
      <c r="U110" s="85">
        <v>29.2</v>
      </c>
      <c r="V110" s="85" t="s">
        <v>30</v>
      </c>
      <c r="W110" s="85" t="s">
        <v>30</v>
      </c>
    </row>
    <row r="111" spans="16:23" ht="13.15" customHeight="1" x14ac:dyDescent="0.35">
      <c r="P111" s="85" t="s">
        <v>31</v>
      </c>
      <c r="Q111" s="85">
        <v>13</v>
      </c>
    </row>
    <row r="113" spans="16:23" ht="13.15" customHeight="1" x14ac:dyDescent="0.35">
      <c r="P113" s="85" t="s">
        <v>0</v>
      </c>
      <c r="Q113" s="85" t="s">
        <v>79</v>
      </c>
    </row>
    <row r="114" spans="16:23" ht="14.15" customHeight="1" x14ac:dyDescent="0.35">
      <c r="P114" s="85" t="s">
        <v>2</v>
      </c>
      <c r="Q114" s="85" t="s">
        <v>80</v>
      </c>
    </row>
    <row r="115" spans="16:23" ht="13.15" customHeight="1" x14ac:dyDescent="0.35">
      <c r="P115" s="85" t="s">
        <v>7</v>
      </c>
      <c r="Q115" s="85" t="s">
        <v>71</v>
      </c>
      <c r="R115" s="85" t="s">
        <v>72</v>
      </c>
      <c r="S115" s="85" t="s">
        <v>73</v>
      </c>
      <c r="T115" s="85" t="s">
        <v>74</v>
      </c>
    </row>
    <row r="116" spans="16:23" ht="13.15" customHeight="1" x14ac:dyDescent="0.35">
      <c r="P116" s="85" t="s">
        <v>12</v>
      </c>
      <c r="Q116" s="85" t="s">
        <v>18</v>
      </c>
      <c r="R116" s="85" t="s">
        <v>19</v>
      </c>
      <c r="S116" s="85" t="s">
        <v>20</v>
      </c>
      <c r="T116" s="85" t="s">
        <v>21</v>
      </c>
    </row>
    <row r="117" spans="16:23" ht="13.15" customHeight="1" x14ac:dyDescent="0.35">
      <c r="P117" s="85" t="s">
        <v>22</v>
      </c>
      <c r="Q117" s="85" t="s">
        <v>23</v>
      </c>
      <c r="R117" s="85" t="s">
        <v>24</v>
      </c>
      <c r="S117" s="85" t="s">
        <v>25</v>
      </c>
      <c r="T117" s="85" t="s">
        <v>26</v>
      </c>
      <c r="U117" s="85" t="s">
        <v>27</v>
      </c>
      <c r="V117" s="85" t="s">
        <v>28</v>
      </c>
      <c r="W117" s="85" t="s">
        <v>29</v>
      </c>
    </row>
    <row r="118" spans="16:23" ht="13.15" customHeight="1" x14ac:dyDescent="0.35">
      <c r="Q118" s="85">
        <v>1038.2</v>
      </c>
      <c r="R118" s="85">
        <v>80.599999999999994</v>
      </c>
      <c r="S118" s="85">
        <v>70.5</v>
      </c>
      <c r="T118" s="85">
        <v>63.3</v>
      </c>
      <c r="U118" s="85">
        <v>55.9</v>
      </c>
      <c r="V118" s="85" t="s">
        <v>30</v>
      </c>
      <c r="W118" s="85" t="s">
        <v>30</v>
      </c>
    </row>
    <row r="119" spans="16:23" ht="13.15" customHeight="1" x14ac:dyDescent="0.35">
      <c r="P119" s="85" t="s">
        <v>31</v>
      </c>
      <c r="Q119" s="85">
        <v>11</v>
      </c>
    </row>
    <row r="121" spans="16:23" ht="13.15" customHeight="1" x14ac:dyDescent="0.35">
      <c r="P121" s="85" t="s">
        <v>0</v>
      </c>
      <c r="Q121" s="85" t="s">
        <v>81</v>
      </c>
    </row>
    <row r="122" spans="16:23" ht="13.15" customHeight="1" x14ac:dyDescent="0.35">
      <c r="P122" s="85" t="s">
        <v>2</v>
      </c>
      <c r="Q122" s="85" t="s">
        <v>82</v>
      </c>
    </row>
    <row r="123" spans="16:23" ht="13.15" customHeight="1" x14ac:dyDescent="0.35">
      <c r="P123" s="85" t="s">
        <v>7</v>
      </c>
      <c r="Q123" s="85" t="s">
        <v>66</v>
      </c>
      <c r="R123" s="85" t="s">
        <v>67</v>
      </c>
      <c r="S123" s="85" t="s">
        <v>68</v>
      </c>
      <c r="T123" s="85" t="s">
        <v>69</v>
      </c>
    </row>
    <row r="124" spans="16:23" ht="13.15" customHeight="1" x14ac:dyDescent="0.35">
      <c r="P124" s="85" t="s">
        <v>12</v>
      </c>
      <c r="Q124" s="85" t="s">
        <v>18</v>
      </c>
      <c r="R124" s="85" t="s">
        <v>19</v>
      </c>
      <c r="S124" s="85" t="s">
        <v>20</v>
      </c>
      <c r="T124" s="85" t="s">
        <v>21</v>
      </c>
    </row>
    <row r="125" spans="16:23" ht="13.15" customHeight="1" x14ac:dyDescent="0.35">
      <c r="P125" s="85" t="s">
        <v>22</v>
      </c>
      <c r="Q125" s="85" t="s">
        <v>23</v>
      </c>
      <c r="R125" s="85" t="s">
        <v>24</v>
      </c>
      <c r="S125" s="85" t="s">
        <v>25</v>
      </c>
      <c r="T125" s="85" t="s">
        <v>26</v>
      </c>
      <c r="U125" s="85" t="s">
        <v>27</v>
      </c>
      <c r="V125" s="85" t="s">
        <v>28</v>
      </c>
      <c r="W125" s="85" t="s">
        <v>29</v>
      </c>
    </row>
    <row r="126" spans="16:23" ht="13.15" customHeight="1" x14ac:dyDescent="0.35">
      <c r="Q126" s="85">
        <v>752.6</v>
      </c>
      <c r="R126" s="85">
        <v>69</v>
      </c>
      <c r="S126" s="85">
        <v>58.8</v>
      </c>
      <c r="T126" s="85">
        <v>45.9</v>
      </c>
      <c r="U126" s="85">
        <v>40.9</v>
      </c>
      <c r="V126" s="85" t="s">
        <v>30</v>
      </c>
      <c r="W126" s="85" t="s">
        <v>30</v>
      </c>
    </row>
    <row r="127" spans="16:23" ht="13.15" customHeight="1" x14ac:dyDescent="0.35">
      <c r="P127" s="85" t="s">
        <v>31</v>
      </c>
      <c r="Q127" s="85">
        <v>10</v>
      </c>
    </row>
    <row r="129" spans="16:23" ht="13.15" customHeight="1" x14ac:dyDescent="0.35">
      <c r="P129" s="85" t="s">
        <v>0</v>
      </c>
      <c r="Q129" s="85" t="s">
        <v>83</v>
      </c>
    </row>
    <row r="130" spans="16:23" ht="13.15" customHeight="1" x14ac:dyDescent="0.35">
      <c r="P130" s="85" t="s">
        <v>2</v>
      </c>
      <c r="Q130" s="85" t="s">
        <v>84</v>
      </c>
    </row>
    <row r="131" spans="16:23" ht="13.15" customHeight="1" x14ac:dyDescent="0.35">
      <c r="P131" s="85" t="s">
        <v>7</v>
      </c>
      <c r="Q131" s="85" t="s">
        <v>13</v>
      </c>
      <c r="R131" s="85" t="s">
        <v>14</v>
      </c>
      <c r="S131" s="85" t="s">
        <v>15</v>
      </c>
      <c r="T131" s="85" t="s">
        <v>16</v>
      </c>
    </row>
    <row r="132" spans="16:23" ht="13.15" customHeight="1" x14ac:dyDescent="0.35">
      <c r="P132" s="85" t="s">
        <v>12</v>
      </c>
      <c r="Q132" s="85" t="s">
        <v>18</v>
      </c>
      <c r="R132" s="85" t="s">
        <v>19</v>
      </c>
      <c r="S132" s="85" t="s">
        <v>20</v>
      </c>
      <c r="T132" s="85" t="s">
        <v>21</v>
      </c>
    </row>
    <row r="133" spans="16:23" ht="13.15" customHeight="1" x14ac:dyDescent="0.35">
      <c r="P133" s="85" t="s">
        <v>22</v>
      </c>
      <c r="Q133" s="85" t="s">
        <v>23</v>
      </c>
      <c r="R133" s="85" t="s">
        <v>24</v>
      </c>
      <c r="S133" s="85" t="s">
        <v>25</v>
      </c>
      <c r="T133" s="85" t="s">
        <v>26</v>
      </c>
      <c r="U133" s="85" t="s">
        <v>27</v>
      </c>
      <c r="V133" s="85" t="s">
        <v>28</v>
      </c>
      <c r="W133" s="85" t="s">
        <v>29</v>
      </c>
    </row>
    <row r="134" spans="16:23" ht="13.15" customHeight="1" x14ac:dyDescent="0.35">
      <c r="Q134" s="85">
        <v>559</v>
      </c>
      <c r="R134" s="85">
        <v>51.3</v>
      </c>
      <c r="S134" s="85">
        <v>34.700000000000003</v>
      </c>
      <c r="T134" s="85">
        <v>30</v>
      </c>
      <c r="U134" s="85">
        <v>30</v>
      </c>
      <c r="V134" s="85" t="s">
        <v>30</v>
      </c>
      <c r="W134" s="85" t="s">
        <v>30</v>
      </c>
    </row>
    <row r="135" spans="16:23" ht="13.15" customHeight="1" x14ac:dyDescent="0.35">
      <c r="P135" s="85" t="s">
        <v>31</v>
      </c>
      <c r="Q135" s="85">
        <v>8</v>
      </c>
    </row>
    <row r="137" spans="16:23" ht="13.15" customHeight="1" x14ac:dyDescent="0.35">
      <c r="P137" s="85" t="s">
        <v>0</v>
      </c>
      <c r="Q137" s="85" t="s">
        <v>85</v>
      </c>
    </row>
    <row r="138" spans="16:23" ht="13.15" customHeight="1" x14ac:dyDescent="0.35">
      <c r="P138" s="85" t="s">
        <v>2</v>
      </c>
      <c r="Q138" s="85" t="s">
        <v>86</v>
      </c>
    </row>
    <row r="139" spans="16:23" ht="13.15" customHeight="1" x14ac:dyDescent="0.35">
      <c r="P139" s="85" t="s">
        <v>7</v>
      </c>
      <c r="Q139" s="85" t="s">
        <v>53</v>
      </c>
      <c r="R139" s="85" t="s">
        <v>54</v>
      </c>
      <c r="S139" s="85" t="s">
        <v>55</v>
      </c>
      <c r="T139" s="85" t="s">
        <v>56</v>
      </c>
    </row>
    <row r="140" spans="16:23" ht="13.15" customHeight="1" x14ac:dyDescent="0.35">
      <c r="P140" s="85" t="s">
        <v>12</v>
      </c>
      <c r="Q140" s="85" t="s">
        <v>18</v>
      </c>
      <c r="R140" s="85" t="s">
        <v>19</v>
      </c>
      <c r="S140" s="85" t="s">
        <v>20</v>
      </c>
      <c r="T140" s="85" t="s">
        <v>21</v>
      </c>
    </row>
    <row r="141" spans="16:23" ht="13.15" customHeight="1" x14ac:dyDescent="0.35">
      <c r="P141" s="85" t="s">
        <v>22</v>
      </c>
      <c r="Q141" s="85" t="s">
        <v>23</v>
      </c>
      <c r="R141" s="85" t="s">
        <v>24</v>
      </c>
      <c r="S141" s="85" t="s">
        <v>25</v>
      </c>
      <c r="T141" s="85" t="s">
        <v>26</v>
      </c>
      <c r="U141" s="85" t="s">
        <v>27</v>
      </c>
      <c r="V141" s="85" t="s">
        <v>28</v>
      </c>
      <c r="W141" s="85" t="s">
        <v>29</v>
      </c>
    </row>
    <row r="142" spans="16:23" ht="13.15" customHeight="1" x14ac:dyDescent="0.35">
      <c r="Q142" s="85">
        <v>1209</v>
      </c>
      <c r="R142" s="85">
        <v>87.4</v>
      </c>
      <c r="S142" s="85">
        <v>82.1</v>
      </c>
      <c r="T142" s="85">
        <v>70.7</v>
      </c>
      <c r="U142" s="85">
        <v>60.8</v>
      </c>
      <c r="V142" s="85" t="s">
        <v>30</v>
      </c>
      <c r="W142" s="85" t="s">
        <v>30</v>
      </c>
    </row>
    <row r="143" spans="16:23" ht="13.15" customHeight="1" x14ac:dyDescent="0.35">
      <c r="P143" s="85" t="s">
        <v>31</v>
      </c>
      <c r="Q143" s="85">
        <v>15</v>
      </c>
    </row>
  </sheetData>
  <mergeCells count="2">
    <mergeCell ref="A10:A12"/>
    <mergeCell ref="A14:A16"/>
  </mergeCells>
  <phoneticPr fontId="35" type="noConversion"/>
  <dataValidations count="1">
    <dataValidation type="list" allowBlank="1" showInputMessage="1" showErrorMessage="1" sqref="K2" xr:uid="{00000000-0002-0000-0000-000000000000}">
      <formula1>$H$10:$H$27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N210"/>
  <sheetViews>
    <sheetView workbookViewId="0"/>
  </sheetViews>
  <sheetFormatPr defaultColWidth="9.69140625" defaultRowHeight="13.15" customHeight="1" x14ac:dyDescent="0.35"/>
  <cols>
    <col min="1" max="1" width="12.15234375" style="34" customWidth="1"/>
    <col min="2" max="2" width="15.3046875" style="34" customWidth="1"/>
    <col min="3" max="3" width="10" style="34" customWidth="1"/>
    <col min="4" max="5" width="9" style="34"/>
    <col min="6" max="6" width="9" style="35"/>
    <col min="7" max="7" width="9" style="34"/>
    <col min="8" max="10" width="9.3046875" style="34"/>
    <col min="11" max="11" width="9" style="34"/>
    <col min="12" max="12" width="15.69140625" style="34" customWidth="1"/>
    <col min="13" max="13" width="9" style="34"/>
    <col min="14" max="14" width="13.3046875" style="34" customWidth="1"/>
    <col min="15" max="15" width="10.84375" style="34" customWidth="1"/>
    <col min="16" max="16" width="11.15234375" style="34" customWidth="1"/>
    <col min="17" max="17" width="10.84375" style="34" customWidth="1"/>
    <col min="18" max="18" width="11.69140625" style="34" customWidth="1"/>
    <col min="19" max="19" width="13.84375" style="34" customWidth="1"/>
    <col min="20" max="20" width="13.15234375" style="34" customWidth="1"/>
    <col min="21" max="21" width="11.15234375" style="34" customWidth="1"/>
    <col min="22" max="22" width="10.84375" style="34" customWidth="1"/>
    <col min="23" max="23" width="11" style="34" customWidth="1"/>
    <col min="24" max="40" width="9" style="34"/>
  </cols>
  <sheetData>
    <row r="1" spans="1:18" ht="13.15" customHeight="1" x14ac:dyDescent="0.35">
      <c r="A1" s="36" t="s">
        <v>358</v>
      </c>
      <c r="B1" s="36" t="s">
        <v>228</v>
      </c>
      <c r="C1" s="36" t="s">
        <v>21</v>
      </c>
      <c r="D1" s="36" t="s">
        <v>74</v>
      </c>
      <c r="E1" s="36" t="s">
        <v>69</v>
      </c>
      <c r="F1" s="37" t="s">
        <v>38</v>
      </c>
      <c r="G1" s="36" t="s">
        <v>45</v>
      </c>
      <c r="H1" s="36" t="s">
        <v>52</v>
      </c>
      <c r="I1" s="36" t="s">
        <v>16</v>
      </c>
      <c r="J1" s="36" t="s">
        <v>56</v>
      </c>
      <c r="K1" s="36" t="s">
        <v>64</v>
      </c>
      <c r="L1" s="36" t="s">
        <v>11</v>
      </c>
    </row>
    <row r="2" spans="1:18" ht="13.15" customHeight="1" x14ac:dyDescent="0.25">
      <c r="A2" s="36" t="s">
        <v>359</v>
      </c>
      <c r="B2" s="36" t="s">
        <v>360</v>
      </c>
      <c r="C2" s="33">
        <v>11.64</v>
      </c>
      <c r="D2" s="38" t="s">
        <v>826</v>
      </c>
      <c r="E2" s="33" t="s">
        <v>826</v>
      </c>
      <c r="F2" s="39" t="s">
        <v>826</v>
      </c>
      <c r="G2" s="33" t="s">
        <v>826</v>
      </c>
      <c r="H2" s="33" t="s">
        <v>826</v>
      </c>
      <c r="I2" s="40">
        <v>49.72</v>
      </c>
      <c r="J2" s="33" t="s">
        <v>826</v>
      </c>
      <c r="K2" s="33" t="s">
        <v>826</v>
      </c>
      <c r="L2" s="33" t="s">
        <v>826</v>
      </c>
    </row>
    <row r="3" spans="1:18" ht="13.15" customHeight="1" x14ac:dyDescent="0.25">
      <c r="A3" s="36" t="s">
        <v>362</v>
      </c>
      <c r="B3" s="36" t="s">
        <v>363</v>
      </c>
      <c r="C3" s="33" t="s">
        <v>826</v>
      </c>
      <c r="D3" s="38" t="s">
        <v>826</v>
      </c>
      <c r="E3" s="33" t="s">
        <v>826</v>
      </c>
      <c r="F3" s="39" t="s">
        <v>826</v>
      </c>
      <c r="G3" s="40">
        <v>13.72</v>
      </c>
      <c r="H3" s="33" t="s">
        <v>826</v>
      </c>
      <c r="I3" s="33" t="s">
        <v>826</v>
      </c>
      <c r="J3" s="33" t="s">
        <v>826</v>
      </c>
      <c r="K3" s="33" t="s">
        <v>826</v>
      </c>
      <c r="L3" s="33" t="s">
        <v>826</v>
      </c>
      <c r="R3" s="34" t="e">
        <f>VLOOKUP(E6,十国工厂表!A:L,MATCH(B3,十国工厂表!A:L,0),FALSE)</f>
        <v>#N/A</v>
      </c>
    </row>
    <row r="4" spans="1:18" ht="13.15" customHeight="1" x14ac:dyDescent="0.25">
      <c r="A4" s="36" t="s">
        <v>365</v>
      </c>
      <c r="B4" s="36" t="s">
        <v>366</v>
      </c>
      <c r="C4" s="33" t="s">
        <v>826</v>
      </c>
      <c r="D4" s="38" t="s">
        <v>826</v>
      </c>
      <c r="E4" s="33" t="s">
        <v>826</v>
      </c>
      <c r="F4" s="39" t="s">
        <v>826</v>
      </c>
      <c r="G4" s="40">
        <v>3.66</v>
      </c>
      <c r="H4" s="33" t="s">
        <v>826</v>
      </c>
      <c r="I4" s="33" t="s">
        <v>826</v>
      </c>
      <c r="J4" s="33" t="s">
        <v>826</v>
      </c>
      <c r="K4" s="33" t="s">
        <v>826</v>
      </c>
      <c r="L4" s="33" t="s">
        <v>826</v>
      </c>
    </row>
    <row r="5" spans="1:18" ht="13.15" customHeight="1" x14ac:dyDescent="0.25">
      <c r="A5" s="36" t="s">
        <v>367</v>
      </c>
      <c r="B5" s="36" t="s">
        <v>368</v>
      </c>
      <c r="C5" s="33" t="s">
        <v>826</v>
      </c>
      <c r="D5" s="38" t="s">
        <v>826</v>
      </c>
      <c r="E5" s="33" t="s">
        <v>826</v>
      </c>
      <c r="F5" s="39" t="s">
        <v>826</v>
      </c>
      <c r="G5" s="33" t="s">
        <v>826</v>
      </c>
      <c r="H5" s="33" t="s">
        <v>826</v>
      </c>
      <c r="I5" s="40">
        <v>24.29</v>
      </c>
      <c r="J5" s="33" t="s">
        <v>826</v>
      </c>
      <c r="K5" s="33" t="s">
        <v>826</v>
      </c>
      <c r="L5" s="33" t="s">
        <v>826</v>
      </c>
      <c r="R5" s="34">
        <f>VLOOKUP(A5,A:L,9,0)</f>
        <v>24.29</v>
      </c>
    </row>
    <row r="6" spans="1:18" ht="13.15" customHeight="1" x14ac:dyDescent="0.25">
      <c r="A6" s="36" t="s">
        <v>370</v>
      </c>
      <c r="B6" s="36" t="s">
        <v>371</v>
      </c>
      <c r="C6" s="33" t="s">
        <v>826</v>
      </c>
      <c r="D6" s="38" t="s">
        <v>826</v>
      </c>
      <c r="E6" s="33" t="s">
        <v>826</v>
      </c>
      <c r="F6" s="41">
        <v>5.42</v>
      </c>
      <c r="G6" s="33" t="s">
        <v>826</v>
      </c>
      <c r="H6" s="33" t="s">
        <v>826</v>
      </c>
      <c r="I6" s="33" t="s">
        <v>826</v>
      </c>
      <c r="J6" s="33" t="s">
        <v>826</v>
      </c>
      <c r="K6" s="33" t="s">
        <v>826</v>
      </c>
      <c r="L6" s="33" t="s">
        <v>826</v>
      </c>
      <c r="R6" s="34">
        <f>MATCH(A3,A:A,0)</f>
        <v>3</v>
      </c>
    </row>
    <row r="7" spans="1:18" ht="13.15" customHeight="1" x14ac:dyDescent="0.25">
      <c r="A7" s="36" t="s">
        <v>372</v>
      </c>
      <c r="B7" s="36" t="s">
        <v>373</v>
      </c>
      <c r="C7" s="33">
        <v>11.54</v>
      </c>
      <c r="D7" s="42">
        <v>14.86</v>
      </c>
      <c r="E7" s="40">
        <v>11.54</v>
      </c>
      <c r="F7" s="39" t="s">
        <v>826</v>
      </c>
      <c r="G7" s="33" t="s">
        <v>826</v>
      </c>
      <c r="H7" s="33" t="s">
        <v>826</v>
      </c>
      <c r="I7" s="33" t="s">
        <v>826</v>
      </c>
      <c r="J7" s="33" t="s">
        <v>826</v>
      </c>
      <c r="K7" s="33" t="s">
        <v>826</v>
      </c>
      <c r="L7" s="33" t="s">
        <v>826</v>
      </c>
      <c r="R7" s="34">
        <f>MATCH(C1,C1:L1,0)</f>
        <v>1</v>
      </c>
    </row>
    <row r="8" spans="1:18" ht="13.15" customHeight="1" x14ac:dyDescent="0.25">
      <c r="A8" s="36" t="s">
        <v>374</v>
      </c>
      <c r="B8" s="36" t="s">
        <v>375</v>
      </c>
      <c r="C8" s="33" t="s">
        <v>826</v>
      </c>
      <c r="D8" s="38" t="s">
        <v>826</v>
      </c>
      <c r="E8" s="33" t="s">
        <v>826</v>
      </c>
      <c r="F8" s="39" t="s">
        <v>826</v>
      </c>
      <c r="G8" s="33" t="s">
        <v>826</v>
      </c>
      <c r="H8" s="33" t="s">
        <v>826</v>
      </c>
      <c r="I8" s="33" t="s">
        <v>826</v>
      </c>
      <c r="J8" s="33" t="s">
        <v>826</v>
      </c>
      <c r="K8" s="40">
        <v>5.45</v>
      </c>
      <c r="L8" s="45">
        <v>42.94</v>
      </c>
    </row>
    <row r="9" spans="1:18" ht="13.15" customHeight="1" x14ac:dyDescent="0.25">
      <c r="A9" s="36" t="s">
        <v>376</v>
      </c>
      <c r="B9" s="36" t="s">
        <v>377</v>
      </c>
      <c r="C9" s="33" t="s">
        <v>826</v>
      </c>
      <c r="D9" s="42">
        <v>9.18</v>
      </c>
      <c r="E9" s="40">
        <v>6.24</v>
      </c>
      <c r="F9" s="39" t="s">
        <v>826</v>
      </c>
      <c r="G9" s="33" t="s">
        <v>826</v>
      </c>
      <c r="H9" s="33" t="s">
        <v>826</v>
      </c>
      <c r="I9" s="33" t="s">
        <v>826</v>
      </c>
      <c r="J9" s="33" t="s">
        <v>826</v>
      </c>
      <c r="K9" s="40">
        <v>6.33</v>
      </c>
      <c r="L9" s="45">
        <v>44.07</v>
      </c>
      <c r="R9" s="34" t="str">
        <f>INDEX(A:L,MATCH(A1,A:A,0),MATCH(A1,A1:L1,0))</f>
        <v>编号</v>
      </c>
    </row>
    <row r="10" spans="1:18" ht="13.15" customHeight="1" x14ac:dyDescent="0.25">
      <c r="A10" s="36" t="s">
        <v>378</v>
      </c>
      <c r="B10" s="36" t="s">
        <v>379</v>
      </c>
      <c r="C10" s="33" t="s">
        <v>826</v>
      </c>
      <c r="D10" s="38" t="s">
        <v>826</v>
      </c>
      <c r="E10" s="33" t="s">
        <v>826</v>
      </c>
      <c r="F10" s="41">
        <v>8.23</v>
      </c>
      <c r="G10" s="33" t="s">
        <v>826</v>
      </c>
      <c r="H10" s="33" t="s">
        <v>826</v>
      </c>
      <c r="I10" s="33" t="s">
        <v>826</v>
      </c>
      <c r="J10" s="33" t="s">
        <v>826</v>
      </c>
      <c r="K10" s="33" t="s">
        <v>826</v>
      </c>
      <c r="L10" s="33" t="s">
        <v>826</v>
      </c>
    </row>
    <row r="11" spans="1:18" ht="13.15" customHeight="1" x14ac:dyDescent="0.25">
      <c r="A11" s="36" t="s">
        <v>381</v>
      </c>
      <c r="B11" s="36" t="s">
        <v>382</v>
      </c>
      <c r="C11" s="33" t="s">
        <v>826</v>
      </c>
      <c r="D11" s="38" t="s">
        <v>826</v>
      </c>
      <c r="E11" s="33" t="s">
        <v>826</v>
      </c>
      <c r="F11" s="41">
        <v>19.77</v>
      </c>
      <c r="G11" s="33" t="s">
        <v>826</v>
      </c>
      <c r="H11" s="33" t="s">
        <v>826</v>
      </c>
      <c r="I11" s="33" t="s">
        <v>826</v>
      </c>
      <c r="J11" s="33" t="s">
        <v>826</v>
      </c>
      <c r="K11" s="33" t="s">
        <v>826</v>
      </c>
      <c r="L11" s="33" t="s">
        <v>826</v>
      </c>
    </row>
    <row r="12" spans="1:18" ht="13.15" customHeight="1" x14ac:dyDescent="0.25">
      <c r="A12" s="36" t="s">
        <v>383</v>
      </c>
      <c r="B12" s="36" t="s">
        <v>384</v>
      </c>
      <c r="C12" s="33" t="s">
        <v>826</v>
      </c>
      <c r="D12" s="38" t="s">
        <v>826</v>
      </c>
      <c r="E12" s="40">
        <v>93.79</v>
      </c>
      <c r="F12" s="39" t="s">
        <v>826</v>
      </c>
      <c r="G12" s="40">
        <v>59.14</v>
      </c>
      <c r="H12" s="33" t="s">
        <v>826</v>
      </c>
      <c r="I12" s="33" t="s">
        <v>826</v>
      </c>
      <c r="J12" s="33">
        <v>3042.32</v>
      </c>
      <c r="K12" s="40">
        <v>103.44</v>
      </c>
      <c r="L12" s="33" t="s">
        <v>826</v>
      </c>
    </row>
    <row r="13" spans="1:18" ht="13.15" customHeight="1" x14ac:dyDescent="0.25">
      <c r="A13" s="36" t="s">
        <v>385</v>
      </c>
      <c r="B13" s="36" t="s">
        <v>386</v>
      </c>
      <c r="C13" s="33" t="s">
        <v>826</v>
      </c>
      <c r="D13" s="38" t="s">
        <v>826</v>
      </c>
      <c r="E13" s="33" t="s">
        <v>826</v>
      </c>
      <c r="F13" s="41">
        <v>14.46</v>
      </c>
      <c r="G13" s="33" t="s">
        <v>826</v>
      </c>
      <c r="H13" s="33" t="s">
        <v>826</v>
      </c>
      <c r="I13" s="33" t="s">
        <v>826</v>
      </c>
      <c r="J13" s="33" t="s">
        <v>826</v>
      </c>
      <c r="K13" s="33" t="s">
        <v>826</v>
      </c>
      <c r="L13" s="33" t="s">
        <v>826</v>
      </c>
    </row>
    <row r="14" spans="1:18" ht="13.15" customHeight="1" x14ac:dyDescent="0.25">
      <c r="A14" s="36" t="s">
        <v>387</v>
      </c>
      <c r="B14" s="36" t="s">
        <v>388</v>
      </c>
      <c r="C14" s="33" t="s">
        <v>826</v>
      </c>
      <c r="D14" s="38" t="s">
        <v>826</v>
      </c>
      <c r="E14" s="40">
        <v>1525.5</v>
      </c>
      <c r="F14" s="39" t="s">
        <v>826</v>
      </c>
      <c r="G14" s="33" t="s">
        <v>826</v>
      </c>
      <c r="H14" s="33" t="s">
        <v>826</v>
      </c>
      <c r="I14" s="33" t="s">
        <v>826</v>
      </c>
      <c r="J14" s="33" t="s">
        <v>826</v>
      </c>
      <c r="K14" s="33" t="s">
        <v>826</v>
      </c>
      <c r="L14" s="33" t="s">
        <v>826</v>
      </c>
    </row>
    <row r="15" spans="1:18" ht="13.15" customHeight="1" x14ac:dyDescent="0.25">
      <c r="A15" s="36" t="s">
        <v>390</v>
      </c>
      <c r="B15" s="36" t="s">
        <v>391</v>
      </c>
      <c r="C15" s="33" t="s">
        <v>826</v>
      </c>
      <c r="D15" s="38" t="s">
        <v>826</v>
      </c>
      <c r="E15" s="33" t="s">
        <v>826</v>
      </c>
      <c r="F15" s="39" t="s">
        <v>826</v>
      </c>
      <c r="G15" s="33" t="s">
        <v>826</v>
      </c>
      <c r="H15" s="33" t="s">
        <v>826</v>
      </c>
      <c r="I15" s="33" t="s">
        <v>826</v>
      </c>
      <c r="J15" s="33" t="s">
        <v>826</v>
      </c>
      <c r="K15" s="33" t="s">
        <v>826</v>
      </c>
      <c r="L15" s="45">
        <v>423.64</v>
      </c>
    </row>
    <row r="16" spans="1:18" ht="13.15" customHeight="1" x14ac:dyDescent="0.25">
      <c r="A16" s="36" t="s">
        <v>392</v>
      </c>
      <c r="B16" s="36" t="s">
        <v>393</v>
      </c>
      <c r="C16" s="33" t="s">
        <v>826</v>
      </c>
      <c r="D16" s="38" t="s">
        <v>826</v>
      </c>
      <c r="E16" s="33" t="s">
        <v>826</v>
      </c>
      <c r="F16" s="39" t="s">
        <v>826</v>
      </c>
      <c r="G16" s="33" t="s">
        <v>826</v>
      </c>
      <c r="H16" s="33" t="s">
        <v>826</v>
      </c>
      <c r="I16" s="33" t="s">
        <v>826</v>
      </c>
      <c r="J16" s="33" t="s">
        <v>826</v>
      </c>
      <c r="K16" s="33" t="s">
        <v>826</v>
      </c>
      <c r="L16" s="45">
        <v>466.69</v>
      </c>
    </row>
    <row r="17" spans="1:12" ht="13.15" customHeight="1" x14ac:dyDescent="0.25">
      <c r="A17" s="36" t="s">
        <v>394</v>
      </c>
      <c r="B17" s="36" t="s">
        <v>395</v>
      </c>
      <c r="C17" s="33" t="s">
        <v>826</v>
      </c>
      <c r="D17" s="38" t="s">
        <v>826</v>
      </c>
      <c r="E17" s="40">
        <v>11.86</v>
      </c>
      <c r="F17" s="39" t="s">
        <v>826</v>
      </c>
      <c r="G17" s="33" t="s">
        <v>826</v>
      </c>
      <c r="H17" s="33" t="s">
        <v>826</v>
      </c>
      <c r="I17" s="33" t="s">
        <v>826</v>
      </c>
      <c r="J17" s="33" t="s">
        <v>826</v>
      </c>
      <c r="K17" s="33" t="s">
        <v>826</v>
      </c>
      <c r="L17" s="33" t="s">
        <v>826</v>
      </c>
    </row>
    <row r="18" spans="1:12" ht="13.15" customHeight="1" x14ac:dyDescent="0.25">
      <c r="A18" s="36" t="s">
        <v>396</v>
      </c>
      <c r="B18" s="36" t="s">
        <v>397</v>
      </c>
      <c r="C18" s="33">
        <v>282.74</v>
      </c>
      <c r="D18" s="38" t="s">
        <v>826</v>
      </c>
      <c r="E18" s="33" t="s">
        <v>826</v>
      </c>
      <c r="F18" s="39" t="s">
        <v>826</v>
      </c>
      <c r="G18" s="40">
        <v>180.33</v>
      </c>
      <c r="H18" s="33" t="s">
        <v>826</v>
      </c>
      <c r="I18" s="33" t="s">
        <v>826</v>
      </c>
      <c r="J18" s="33" t="s">
        <v>826</v>
      </c>
      <c r="K18" s="33" t="s">
        <v>826</v>
      </c>
      <c r="L18" s="33" t="s">
        <v>826</v>
      </c>
    </row>
    <row r="19" spans="1:12" ht="13.15" customHeight="1" x14ac:dyDescent="0.25">
      <c r="A19" s="36" t="s">
        <v>398</v>
      </c>
      <c r="B19" s="36" t="s">
        <v>399</v>
      </c>
      <c r="C19" s="33" t="s">
        <v>826</v>
      </c>
      <c r="D19" s="38" t="s">
        <v>826</v>
      </c>
      <c r="E19" s="33" t="s">
        <v>826</v>
      </c>
      <c r="F19" s="39" t="s">
        <v>826</v>
      </c>
      <c r="G19" s="40">
        <v>2.21</v>
      </c>
      <c r="H19" s="33" t="s">
        <v>826</v>
      </c>
      <c r="I19" s="33" t="s">
        <v>826</v>
      </c>
      <c r="J19" s="33" t="s">
        <v>826</v>
      </c>
      <c r="K19" s="33" t="s">
        <v>826</v>
      </c>
      <c r="L19" s="45">
        <v>27.35</v>
      </c>
    </row>
    <row r="20" spans="1:12" ht="13.15" customHeight="1" x14ac:dyDescent="0.25">
      <c r="A20" s="36" t="s">
        <v>400</v>
      </c>
      <c r="B20" s="36" t="s">
        <v>401</v>
      </c>
      <c r="C20" s="33" t="s">
        <v>826</v>
      </c>
      <c r="D20" s="38" t="s">
        <v>826</v>
      </c>
      <c r="E20" s="33" t="s">
        <v>826</v>
      </c>
      <c r="F20" s="39" t="s">
        <v>826</v>
      </c>
      <c r="G20" s="40">
        <v>2.77</v>
      </c>
      <c r="H20" s="33" t="s">
        <v>826</v>
      </c>
      <c r="I20" s="33" t="s">
        <v>826</v>
      </c>
      <c r="J20" s="33" t="s">
        <v>826</v>
      </c>
      <c r="K20" s="33" t="s">
        <v>826</v>
      </c>
      <c r="L20" s="33" t="s">
        <v>826</v>
      </c>
    </row>
    <row r="21" spans="1:12" ht="13.15" customHeight="1" x14ac:dyDescent="0.25">
      <c r="A21" s="36" t="s">
        <v>403</v>
      </c>
      <c r="B21" s="36" t="s">
        <v>404</v>
      </c>
      <c r="C21" s="33" t="s">
        <v>826</v>
      </c>
      <c r="D21" s="38" t="s">
        <v>826</v>
      </c>
      <c r="E21" s="33" t="s">
        <v>826</v>
      </c>
      <c r="F21" s="39" t="s">
        <v>826</v>
      </c>
      <c r="G21" s="40">
        <v>1.1299999999999999</v>
      </c>
      <c r="H21" s="33" t="s">
        <v>826</v>
      </c>
      <c r="I21" s="33" t="s">
        <v>826</v>
      </c>
      <c r="J21" s="33" t="s">
        <v>826</v>
      </c>
      <c r="K21" s="33" t="s">
        <v>826</v>
      </c>
      <c r="L21" s="33" t="s">
        <v>826</v>
      </c>
    </row>
    <row r="22" spans="1:12" ht="13.15" customHeight="1" x14ac:dyDescent="0.25">
      <c r="A22" s="36" t="s">
        <v>405</v>
      </c>
      <c r="B22" s="36" t="s">
        <v>406</v>
      </c>
      <c r="C22" s="33">
        <v>29.15</v>
      </c>
      <c r="D22" s="38" t="s">
        <v>826</v>
      </c>
      <c r="E22" s="33" t="s">
        <v>826</v>
      </c>
      <c r="F22" s="41">
        <v>23.28</v>
      </c>
      <c r="G22" s="33" t="s">
        <v>826</v>
      </c>
      <c r="H22" s="33" t="s">
        <v>826</v>
      </c>
      <c r="I22" s="33" t="s">
        <v>826</v>
      </c>
      <c r="J22" s="33" t="s">
        <v>826</v>
      </c>
      <c r="K22" s="33" t="s">
        <v>826</v>
      </c>
      <c r="L22" s="33" t="s">
        <v>826</v>
      </c>
    </row>
    <row r="23" spans="1:12" ht="13.15" customHeight="1" x14ac:dyDescent="0.25">
      <c r="A23" s="36" t="s">
        <v>407</v>
      </c>
      <c r="B23" s="36" t="s">
        <v>408</v>
      </c>
      <c r="C23" s="33">
        <v>5.08</v>
      </c>
      <c r="D23" s="38" t="s">
        <v>826</v>
      </c>
      <c r="E23" s="43">
        <v>5.08</v>
      </c>
      <c r="F23" s="44">
        <v>3.8</v>
      </c>
      <c r="G23" s="33" t="s">
        <v>826</v>
      </c>
      <c r="H23" s="33" t="s">
        <v>826</v>
      </c>
      <c r="I23" s="43">
        <v>31.64</v>
      </c>
      <c r="J23" s="33">
        <v>155.05000000000001</v>
      </c>
      <c r="K23" s="33" t="s">
        <v>826</v>
      </c>
      <c r="L23" s="33" t="s">
        <v>826</v>
      </c>
    </row>
    <row r="24" spans="1:12" ht="13.15" customHeight="1" x14ac:dyDescent="0.25">
      <c r="A24" s="36" t="s">
        <v>410</v>
      </c>
      <c r="B24" s="36" t="s">
        <v>411</v>
      </c>
      <c r="C24" s="33">
        <v>3.56</v>
      </c>
      <c r="D24" s="38" t="s">
        <v>826</v>
      </c>
      <c r="E24" s="33" t="s">
        <v>826</v>
      </c>
      <c r="F24" s="44">
        <v>2.8</v>
      </c>
      <c r="G24" s="33" t="s">
        <v>826</v>
      </c>
      <c r="H24" s="43">
        <v>287.63</v>
      </c>
      <c r="I24" s="33" t="s">
        <v>826</v>
      </c>
      <c r="J24" s="33">
        <v>117.58</v>
      </c>
      <c r="K24" s="33" t="s">
        <v>826</v>
      </c>
      <c r="L24" s="33" t="s">
        <v>826</v>
      </c>
    </row>
    <row r="25" spans="1:12" ht="13.15" customHeight="1" x14ac:dyDescent="0.25">
      <c r="A25" s="36" t="s">
        <v>413</v>
      </c>
      <c r="B25" s="36" t="s">
        <v>414</v>
      </c>
      <c r="C25" s="33">
        <v>3.31</v>
      </c>
      <c r="D25" s="42">
        <v>6.78</v>
      </c>
      <c r="E25" s="33" t="s">
        <v>826</v>
      </c>
      <c r="F25" s="39" t="s">
        <v>826</v>
      </c>
      <c r="G25" s="43">
        <v>2.5</v>
      </c>
      <c r="H25" s="43">
        <v>339.12</v>
      </c>
      <c r="I25" s="33" t="s">
        <v>826</v>
      </c>
      <c r="J25" s="33" t="s">
        <v>826</v>
      </c>
      <c r="K25" s="40">
        <v>4.05</v>
      </c>
      <c r="L25" s="33" t="s">
        <v>826</v>
      </c>
    </row>
    <row r="26" spans="1:12" ht="13.15" customHeight="1" x14ac:dyDescent="0.25">
      <c r="A26" s="36" t="s">
        <v>415</v>
      </c>
      <c r="B26" s="36" t="s">
        <v>416</v>
      </c>
      <c r="C26" s="33">
        <v>7.34</v>
      </c>
      <c r="D26" s="38" t="s">
        <v>826</v>
      </c>
      <c r="E26" s="33" t="s">
        <v>826</v>
      </c>
      <c r="F26" s="39" t="s">
        <v>826</v>
      </c>
      <c r="G26" s="33" t="s">
        <v>826</v>
      </c>
      <c r="H26" s="33" t="s">
        <v>826</v>
      </c>
      <c r="I26" s="33" t="s">
        <v>826</v>
      </c>
      <c r="J26" s="33" t="s">
        <v>826</v>
      </c>
      <c r="K26" s="33" t="s">
        <v>826</v>
      </c>
      <c r="L26" s="33" t="s">
        <v>826</v>
      </c>
    </row>
    <row r="27" spans="1:12" ht="13.15" customHeight="1" x14ac:dyDescent="0.25">
      <c r="A27" s="36" t="s">
        <v>417</v>
      </c>
      <c r="B27" s="36" t="s">
        <v>418</v>
      </c>
      <c r="C27" s="33" t="s">
        <v>826</v>
      </c>
      <c r="D27" s="42">
        <v>10.33</v>
      </c>
      <c r="E27" s="40">
        <v>6.64</v>
      </c>
      <c r="F27" s="39" t="s">
        <v>826</v>
      </c>
      <c r="G27" s="40">
        <v>3.34</v>
      </c>
      <c r="H27" s="33" t="s">
        <v>826</v>
      </c>
      <c r="I27" s="33" t="s">
        <v>826</v>
      </c>
      <c r="J27" s="33" t="s">
        <v>826</v>
      </c>
      <c r="K27" s="40">
        <v>5.99</v>
      </c>
      <c r="L27" s="45">
        <v>42.28</v>
      </c>
    </row>
    <row r="28" spans="1:12" ht="13.15" customHeight="1" x14ac:dyDescent="0.25">
      <c r="A28" s="36" t="s">
        <v>419</v>
      </c>
      <c r="B28" s="36" t="s">
        <v>420</v>
      </c>
      <c r="C28" s="33">
        <v>8.73</v>
      </c>
      <c r="D28" s="38" t="s">
        <v>826</v>
      </c>
      <c r="E28" s="33" t="s">
        <v>826</v>
      </c>
      <c r="F28" s="39" t="s">
        <v>826</v>
      </c>
      <c r="G28" s="33" t="s">
        <v>826</v>
      </c>
      <c r="H28" s="33" t="s">
        <v>826</v>
      </c>
      <c r="I28" s="33" t="s">
        <v>826</v>
      </c>
      <c r="J28" s="33" t="s">
        <v>826</v>
      </c>
      <c r="K28" s="33" t="s">
        <v>826</v>
      </c>
      <c r="L28" s="33" t="s">
        <v>826</v>
      </c>
    </row>
    <row r="29" spans="1:12" ht="13.15" customHeight="1" x14ac:dyDescent="0.25">
      <c r="A29" s="36" t="s">
        <v>421</v>
      </c>
      <c r="B29" s="36" t="s">
        <v>422</v>
      </c>
      <c r="C29" s="33" t="s">
        <v>826</v>
      </c>
      <c r="D29" s="42">
        <v>43.14</v>
      </c>
      <c r="E29" s="33" t="s">
        <v>826</v>
      </c>
      <c r="F29" s="39" t="s">
        <v>826</v>
      </c>
      <c r="G29" s="33" t="s">
        <v>826</v>
      </c>
      <c r="H29" s="33" t="s">
        <v>826</v>
      </c>
      <c r="I29" s="33" t="s">
        <v>826</v>
      </c>
      <c r="J29" s="33" t="s">
        <v>826</v>
      </c>
      <c r="K29" s="33" t="s">
        <v>826</v>
      </c>
      <c r="L29" s="33" t="s">
        <v>826</v>
      </c>
    </row>
    <row r="30" spans="1:12" ht="13.15" customHeight="1" x14ac:dyDescent="0.25">
      <c r="A30" s="36" t="s">
        <v>423</v>
      </c>
      <c r="B30" s="36" t="s">
        <v>424</v>
      </c>
      <c r="C30" s="33" t="s">
        <v>826</v>
      </c>
      <c r="D30" s="42">
        <v>12.8</v>
      </c>
      <c r="E30" s="33" t="s">
        <v>826</v>
      </c>
      <c r="F30" s="39" t="s">
        <v>826</v>
      </c>
      <c r="G30" s="33" t="s">
        <v>826</v>
      </c>
      <c r="H30" s="33" t="s">
        <v>826</v>
      </c>
      <c r="I30" s="33" t="s">
        <v>826</v>
      </c>
      <c r="J30" s="33" t="s">
        <v>826</v>
      </c>
      <c r="K30" s="33" t="s">
        <v>826</v>
      </c>
      <c r="L30" s="33" t="s">
        <v>826</v>
      </c>
    </row>
    <row r="31" spans="1:12" ht="13.15" customHeight="1" x14ac:dyDescent="0.25">
      <c r="A31" s="36" t="s">
        <v>425</v>
      </c>
      <c r="B31" s="36" t="s">
        <v>426</v>
      </c>
      <c r="C31" s="33" t="s">
        <v>826</v>
      </c>
      <c r="D31" s="38" t="s">
        <v>826</v>
      </c>
      <c r="E31" s="33" t="s">
        <v>826</v>
      </c>
      <c r="F31" s="39" t="s">
        <v>826</v>
      </c>
      <c r="G31" s="40">
        <v>11.07</v>
      </c>
      <c r="H31" s="33" t="s">
        <v>826</v>
      </c>
      <c r="I31" s="33" t="s">
        <v>826</v>
      </c>
      <c r="J31" s="33" t="s">
        <v>826</v>
      </c>
      <c r="K31" s="33" t="s">
        <v>826</v>
      </c>
      <c r="L31" s="33" t="s">
        <v>826</v>
      </c>
    </row>
    <row r="32" spans="1:12" ht="13.15" customHeight="1" x14ac:dyDescent="0.25">
      <c r="A32" s="36" t="s">
        <v>427</v>
      </c>
      <c r="B32" s="36" t="s">
        <v>428</v>
      </c>
      <c r="C32" s="33" t="s">
        <v>826</v>
      </c>
      <c r="D32" s="38" t="s">
        <v>826</v>
      </c>
      <c r="E32" s="33" t="s">
        <v>826</v>
      </c>
      <c r="F32" s="39" t="s">
        <v>826</v>
      </c>
      <c r="G32" s="33" t="s">
        <v>826</v>
      </c>
      <c r="H32" s="40">
        <v>904</v>
      </c>
      <c r="I32" s="33" t="s">
        <v>826</v>
      </c>
      <c r="J32" s="33" t="s">
        <v>826</v>
      </c>
      <c r="K32" s="33" t="s">
        <v>826</v>
      </c>
      <c r="L32" s="33" t="s">
        <v>826</v>
      </c>
    </row>
    <row r="33" spans="1:12" ht="13.15" customHeight="1" x14ac:dyDescent="0.25">
      <c r="A33" s="36" t="s">
        <v>429</v>
      </c>
      <c r="B33" s="36" t="s">
        <v>430</v>
      </c>
      <c r="C33" s="33" t="s">
        <v>826</v>
      </c>
      <c r="D33" s="38" t="s">
        <v>826</v>
      </c>
      <c r="E33" s="33" t="s">
        <v>826</v>
      </c>
      <c r="F33" s="39" t="s">
        <v>826</v>
      </c>
      <c r="G33" s="33" t="s">
        <v>826</v>
      </c>
      <c r="H33" s="33" t="s">
        <v>826</v>
      </c>
      <c r="I33" s="33" t="s">
        <v>826</v>
      </c>
      <c r="J33" s="33" t="s">
        <v>826</v>
      </c>
      <c r="K33" s="40">
        <v>16.95</v>
      </c>
      <c r="L33" s="33" t="s">
        <v>826</v>
      </c>
    </row>
    <row r="34" spans="1:12" ht="13.15" customHeight="1" x14ac:dyDescent="0.25">
      <c r="A34" s="36" t="s">
        <v>431</v>
      </c>
      <c r="B34" s="36" t="s">
        <v>432</v>
      </c>
      <c r="C34" s="33" t="s">
        <v>826</v>
      </c>
      <c r="D34" s="38" t="s">
        <v>826</v>
      </c>
      <c r="E34" s="33" t="s">
        <v>826</v>
      </c>
      <c r="F34" s="39" t="s">
        <v>826</v>
      </c>
      <c r="G34" s="40">
        <v>2.37</v>
      </c>
      <c r="H34" s="40">
        <v>315.95</v>
      </c>
      <c r="I34" s="33" t="s">
        <v>826</v>
      </c>
      <c r="J34" s="33" t="s">
        <v>826</v>
      </c>
      <c r="K34" s="33" t="s">
        <v>826</v>
      </c>
      <c r="L34" s="33" t="s">
        <v>826</v>
      </c>
    </row>
    <row r="35" spans="1:12" ht="13.15" customHeight="1" x14ac:dyDescent="0.25">
      <c r="A35" s="36" t="s">
        <v>433</v>
      </c>
      <c r="B35" s="36" t="s">
        <v>434</v>
      </c>
      <c r="C35" s="33" t="s">
        <v>826</v>
      </c>
      <c r="D35" s="38" t="s">
        <v>826</v>
      </c>
      <c r="E35" s="33" t="s">
        <v>826</v>
      </c>
      <c r="F35" s="39" t="s">
        <v>826</v>
      </c>
      <c r="G35" s="33" t="s">
        <v>826</v>
      </c>
      <c r="H35" s="40">
        <v>960.5</v>
      </c>
      <c r="I35" s="33" t="s">
        <v>826</v>
      </c>
      <c r="J35" s="33" t="s">
        <v>826</v>
      </c>
      <c r="K35" s="33" t="s">
        <v>826</v>
      </c>
      <c r="L35" s="33" t="s">
        <v>826</v>
      </c>
    </row>
    <row r="36" spans="1:12" ht="13.15" customHeight="1" x14ac:dyDescent="0.25">
      <c r="A36" s="36" t="s">
        <v>435</v>
      </c>
      <c r="B36" s="36" t="s">
        <v>436</v>
      </c>
      <c r="C36" s="33" t="s">
        <v>826</v>
      </c>
      <c r="D36" s="38" t="s">
        <v>826</v>
      </c>
      <c r="E36" s="33" t="s">
        <v>826</v>
      </c>
      <c r="F36" s="39" t="s">
        <v>826</v>
      </c>
      <c r="G36" s="33" t="s">
        <v>826</v>
      </c>
      <c r="H36" s="33" t="s">
        <v>826</v>
      </c>
      <c r="I36" s="33" t="s">
        <v>826</v>
      </c>
      <c r="J36" s="33" t="s">
        <v>826</v>
      </c>
      <c r="K36" s="33" t="s">
        <v>826</v>
      </c>
      <c r="L36" s="45">
        <v>100.57</v>
      </c>
    </row>
    <row r="37" spans="1:12" ht="13.15" customHeight="1" x14ac:dyDescent="0.25">
      <c r="A37" s="36" t="s">
        <v>437</v>
      </c>
      <c r="B37" s="36" t="s">
        <v>438</v>
      </c>
      <c r="C37" s="33" t="s">
        <v>826</v>
      </c>
      <c r="D37" s="38" t="s">
        <v>826</v>
      </c>
      <c r="E37" s="33" t="s">
        <v>826</v>
      </c>
      <c r="F37" s="39" t="s">
        <v>826</v>
      </c>
      <c r="G37" s="33" t="s">
        <v>826</v>
      </c>
      <c r="H37" s="33" t="s">
        <v>826</v>
      </c>
      <c r="I37" s="33" t="s">
        <v>826</v>
      </c>
      <c r="J37" s="33" t="s">
        <v>826</v>
      </c>
      <c r="K37" s="33" t="s">
        <v>826</v>
      </c>
      <c r="L37" s="45">
        <v>166.11</v>
      </c>
    </row>
    <row r="38" spans="1:12" ht="13.15" customHeight="1" x14ac:dyDescent="0.25">
      <c r="A38" s="36" t="s">
        <v>439</v>
      </c>
      <c r="B38" s="36" t="s">
        <v>440</v>
      </c>
      <c r="C38" s="33" t="s">
        <v>826</v>
      </c>
      <c r="D38" s="38" t="s">
        <v>826</v>
      </c>
      <c r="E38" s="33" t="s">
        <v>826</v>
      </c>
      <c r="F38" s="39" t="s">
        <v>826</v>
      </c>
      <c r="G38" s="33" t="s">
        <v>826</v>
      </c>
      <c r="H38" s="33" t="s">
        <v>826</v>
      </c>
      <c r="I38" s="33" t="s">
        <v>826</v>
      </c>
      <c r="J38" s="33" t="s">
        <v>826</v>
      </c>
      <c r="K38" s="33" t="s">
        <v>826</v>
      </c>
      <c r="L38" s="45">
        <v>152.55000000000001</v>
      </c>
    </row>
    <row r="39" spans="1:12" ht="13.15" customHeight="1" x14ac:dyDescent="0.25">
      <c r="A39" s="36" t="s">
        <v>441</v>
      </c>
      <c r="B39" s="36" t="s">
        <v>442</v>
      </c>
      <c r="C39" s="33" t="s">
        <v>826</v>
      </c>
      <c r="D39" s="38" t="s">
        <v>826</v>
      </c>
      <c r="E39" s="33" t="s">
        <v>826</v>
      </c>
      <c r="F39" s="39" t="s">
        <v>826</v>
      </c>
      <c r="G39" s="33" t="s">
        <v>826</v>
      </c>
      <c r="H39" s="33" t="s">
        <v>826</v>
      </c>
      <c r="I39" s="33" t="s">
        <v>826</v>
      </c>
      <c r="J39" s="33" t="s">
        <v>826</v>
      </c>
      <c r="K39" s="33" t="s">
        <v>826</v>
      </c>
      <c r="L39" s="45">
        <v>96.05</v>
      </c>
    </row>
    <row r="40" spans="1:12" ht="13.15" customHeight="1" x14ac:dyDescent="0.25">
      <c r="A40" s="36" t="s">
        <v>443</v>
      </c>
      <c r="B40" s="36" t="s">
        <v>444</v>
      </c>
      <c r="C40" s="33" t="s">
        <v>826</v>
      </c>
      <c r="D40" s="38" t="s">
        <v>826</v>
      </c>
      <c r="E40" s="33" t="s">
        <v>826</v>
      </c>
      <c r="F40" s="39" t="s">
        <v>826</v>
      </c>
      <c r="G40" s="33" t="s">
        <v>826</v>
      </c>
      <c r="H40" s="33" t="s">
        <v>826</v>
      </c>
      <c r="I40" s="40">
        <v>23.73</v>
      </c>
      <c r="J40" s="33" t="s">
        <v>826</v>
      </c>
      <c r="K40" s="33" t="s">
        <v>826</v>
      </c>
      <c r="L40" s="33" t="s">
        <v>826</v>
      </c>
    </row>
    <row r="41" spans="1:12" ht="13.15" customHeight="1" x14ac:dyDescent="0.25">
      <c r="A41" s="36" t="s">
        <v>445</v>
      </c>
      <c r="B41" s="36" t="s">
        <v>446</v>
      </c>
      <c r="C41" s="33" t="s">
        <v>826</v>
      </c>
      <c r="D41" s="38" t="s">
        <v>826</v>
      </c>
      <c r="E41" s="33" t="s">
        <v>826</v>
      </c>
      <c r="F41" s="39" t="s">
        <v>826</v>
      </c>
      <c r="G41" s="33" t="s">
        <v>826</v>
      </c>
      <c r="H41" s="33" t="s">
        <v>826</v>
      </c>
      <c r="I41" s="40">
        <v>36.57</v>
      </c>
      <c r="J41" s="33" t="s">
        <v>826</v>
      </c>
      <c r="K41" s="33" t="s">
        <v>826</v>
      </c>
      <c r="L41" s="33" t="s">
        <v>826</v>
      </c>
    </row>
    <row r="42" spans="1:12" ht="13.15" customHeight="1" x14ac:dyDescent="0.25">
      <c r="A42" s="36" t="s">
        <v>447</v>
      </c>
      <c r="B42" s="36" t="s">
        <v>448</v>
      </c>
      <c r="C42" s="33" t="s">
        <v>826</v>
      </c>
      <c r="D42" s="38" t="s">
        <v>826</v>
      </c>
      <c r="E42" s="33" t="s">
        <v>826</v>
      </c>
      <c r="F42" s="39" t="s">
        <v>826</v>
      </c>
      <c r="G42" s="33" t="s">
        <v>826</v>
      </c>
      <c r="H42" s="33" t="s">
        <v>826</v>
      </c>
      <c r="I42" s="33" t="s">
        <v>826</v>
      </c>
      <c r="J42" s="33">
        <v>169.5</v>
      </c>
      <c r="K42" s="33" t="s">
        <v>826</v>
      </c>
      <c r="L42" s="33" t="s">
        <v>826</v>
      </c>
    </row>
    <row r="43" spans="1:12" ht="13.15" customHeight="1" x14ac:dyDescent="0.25">
      <c r="A43" s="36" t="s">
        <v>449</v>
      </c>
      <c r="B43" s="36" t="s">
        <v>450</v>
      </c>
      <c r="C43" s="33" t="s">
        <v>826</v>
      </c>
      <c r="D43" s="38" t="s">
        <v>826</v>
      </c>
      <c r="E43" s="33" t="s">
        <v>826</v>
      </c>
      <c r="F43" s="39" t="s">
        <v>826</v>
      </c>
      <c r="G43" s="33" t="s">
        <v>826</v>
      </c>
      <c r="H43" s="33" t="s">
        <v>826</v>
      </c>
      <c r="I43" s="33" t="s">
        <v>826</v>
      </c>
      <c r="J43" s="33">
        <v>98.94</v>
      </c>
      <c r="K43" s="33" t="s">
        <v>826</v>
      </c>
      <c r="L43" s="45">
        <v>26.59</v>
      </c>
    </row>
    <row r="44" spans="1:12" ht="13.15" customHeight="1" x14ac:dyDescent="0.25">
      <c r="A44" s="36" t="s">
        <v>451</v>
      </c>
      <c r="B44" s="36" t="s">
        <v>452</v>
      </c>
      <c r="C44" s="33" t="s">
        <v>826</v>
      </c>
      <c r="D44" s="38" t="s">
        <v>826</v>
      </c>
      <c r="E44" s="33" t="s">
        <v>826</v>
      </c>
      <c r="F44" s="39" t="s">
        <v>826</v>
      </c>
      <c r="G44" s="33" t="s">
        <v>826</v>
      </c>
      <c r="H44" s="33" t="s">
        <v>826</v>
      </c>
      <c r="I44" s="33" t="s">
        <v>826</v>
      </c>
      <c r="J44" s="33">
        <v>791</v>
      </c>
      <c r="K44" s="33" t="s">
        <v>826</v>
      </c>
      <c r="L44" s="45">
        <v>214.7</v>
      </c>
    </row>
    <row r="45" spans="1:12" ht="13.15" customHeight="1" x14ac:dyDescent="0.25">
      <c r="A45" s="36" t="s">
        <v>453</v>
      </c>
      <c r="B45" s="36" t="s">
        <v>454</v>
      </c>
      <c r="C45" s="33" t="s">
        <v>826</v>
      </c>
      <c r="D45" s="38" t="s">
        <v>826</v>
      </c>
      <c r="E45" s="33" t="s">
        <v>826</v>
      </c>
      <c r="F45" s="41">
        <v>0.47</v>
      </c>
      <c r="G45" s="33" t="s">
        <v>826</v>
      </c>
      <c r="H45" s="33" t="s">
        <v>826</v>
      </c>
      <c r="I45" s="33" t="s">
        <v>826</v>
      </c>
      <c r="J45" s="33">
        <v>21.7</v>
      </c>
      <c r="K45" s="33" t="s">
        <v>826</v>
      </c>
      <c r="L45" s="45">
        <v>5.81</v>
      </c>
    </row>
    <row r="46" spans="1:12" ht="13.15" customHeight="1" x14ac:dyDescent="0.25">
      <c r="A46" s="36" t="s">
        <v>455</v>
      </c>
      <c r="B46" s="36" t="s">
        <v>456</v>
      </c>
      <c r="C46" s="33" t="s">
        <v>826</v>
      </c>
      <c r="D46" s="38" t="s">
        <v>826</v>
      </c>
      <c r="E46" s="33" t="s">
        <v>826</v>
      </c>
      <c r="F46" s="39" t="s">
        <v>826</v>
      </c>
      <c r="G46" s="33" t="s">
        <v>826</v>
      </c>
      <c r="H46" s="33" t="s">
        <v>826</v>
      </c>
      <c r="I46" s="33" t="s">
        <v>826</v>
      </c>
      <c r="J46" s="33">
        <v>779.7</v>
      </c>
      <c r="K46" s="33" t="s">
        <v>826</v>
      </c>
      <c r="L46" s="45">
        <v>209.05</v>
      </c>
    </row>
    <row r="47" spans="1:12" ht="13.15" customHeight="1" x14ac:dyDescent="0.25">
      <c r="A47" s="36" t="s">
        <v>457</v>
      </c>
      <c r="B47" s="36" t="s">
        <v>458</v>
      </c>
      <c r="C47" s="33" t="s">
        <v>826</v>
      </c>
      <c r="D47" s="38" t="s">
        <v>826</v>
      </c>
      <c r="E47" s="40">
        <v>21.33</v>
      </c>
      <c r="F47" s="41">
        <v>15.48</v>
      </c>
      <c r="G47" s="40">
        <v>14.57</v>
      </c>
      <c r="H47" s="33" t="s">
        <v>826</v>
      </c>
      <c r="I47" s="33" t="s">
        <v>826</v>
      </c>
      <c r="J47" s="33">
        <v>735.9</v>
      </c>
      <c r="K47" s="40">
        <v>25.3</v>
      </c>
      <c r="L47" s="33" t="s">
        <v>826</v>
      </c>
    </row>
    <row r="48" spans="1:12" ht="13.15" customHeight="1" x14ac:dyDescent="0.25">
      <c r="A48" s="36" t="s">
        <v>459</v>
      </c>
      <c r="B48" s="36" t="s">
        <v>460</v>
      </c>
      <c r="C48" s="33" t="s">
        <v>826</v>
      </c>
      <c r="D48" s="38" t="s">
        <v>826</v>
      </c>
      <c r="E48" s="33" t="s">
        <v>826</v>
      </c>
      <c r="F48" s="39" t="s">
        <v>826</v>
      </c>
      <c r="G48" s="33" t="s">
        <v>826</v>
      </c>
      <c r="H48" s="33" t="s">
        <v>826</v>
      </c>
      <c r="I48" s="33" t="s">
        <v>826</v>
      </c>
      <c r="J48" s="33">
        <v>4976.5200000000004</v>
      </c>
      <c r="K48" s="33" t="s">
        <v>826</v>
      </c>
      <c r="L48" s="33" t="s">
        <v>826</v>
      </c>
    </row>
    <row r="49" spans="1:12" ht="13.15" customHeight="1" x14ac:dyDescent="0.25">
      <c r="A49" s="36" t="s">
        <v>461</v>
      </c>
      <c r="B49" s="36" t="s">
        <v>462</v>
      </c>
      <c r="C49" s="33" t="s">
        <v>826</v>
      </c>
      <c r="D49" s="38" t="s">
        <v>826</v>
      </c>
      <c r="E49" s="40">
        <v>135.97</v>
      </c>
      <c r="F49" s="39" t="s">
        <v>826</v>
      </c>
      <c r="G49" s="33" t="s">
        <v>826</v>
      </c>
      <c r="H49" s="33" t="s">
        <v>826</v>
      </c>
      <c r="I49" s="33" t="s">
        <v>826</v>
      </c>
      <c r="J49" s="33" t="s">
        <v>826</v>
      </c>
      <c r="K49" s="33" t="s">
        <v>826</v>
      </c>
      <c r="L49" s="33" t="s">
        <v>826</v>
      </c>
    </row>
    <row r="50" spans="1:12" ht="13.15" customHeight="1" x14ac:dyDescent="0.25">
      <c r="A50" s="36" t="s">
        <v>463</v>
      </c>
      <c r="B50" s="36" t="s">
        <v>464</v>
      </c>
      <c r="C50" s="33">
        <v>31.75</v>
      </c>
      <c r="D50" s="38" t="s">
        <v>826</v>
      </c>
      <c r="E50" s="33" t="s">
        <v>826</v>
      </c>
      <c r="F50" s="39" t="s">
        <v>826</v>
      </c>
      <c r="G50" s="33" t="s">
        <v>826</v>
      </c>
      <c r="H50" s="33" t="s">
        <v>826</v>
      </c>
      <c r="I50" s="33" t="s">
        <v>826</v>
      </c>
      <c r="J50" s="33" t="s">
        <v>826</v>
      </c>
      <c r="K50" s="33" t="s">
        <v>826</v>
      </c>
      <c r="L50" s="33" t="s">
        <v>826</v>
      </c>
    </row>
    <row r="51" spans="1:12" ht="13.15" customHeight="1" x14ac:dyDescent="0.25">
      <c r="A51" s="36" t="s">
        <v>465</v>
      </c>
      <c r="B51" s="36" t="s">
        <v>466</v>
      </c>
      <c r="C51" s="33" t="s">
        <v>826</v>
      </c>
      <c r="D51" s="42">
        <v>29.24</v>
      </c>
      <c r="E51" s="40">
        <v>16.36</v>
      </c>
      <c r="F51" s="39" t="s">
        <v>826</v>
      </c>
      <c r="G51" s="33" t="s">
        <v>826</v>
      </c>
      <c r="H51" s="33" t="s">
        <v>826</v>
      </c>
      <c r="I51" s="43">
        <v>105.43</v>
      </c>
      <c r="J51" s="33" t="s">
        <v>826</v>
      </c>
      <c r="K51" s="40">
        <v>18.39</v>
      </c>
      <c r="L51" s="33" t="s">
        <v>826</v>
      </c>
    </row>
    <row r="52" spans="1:12" ht="13.15" customHeight="1" x14ac:dyDescent="0.25">
      <c r="A52" s="36" t="s">
        <v>467</v>
      </c>
      <c r="B52" s="36" t="s">
        <v>468</v>
      </c>
      <c r="C52" s="33">
        <v>6.79</v>
      </c>
      <c r="D52" s="38" t="s">
        <v>826</v>
      </c>
      <c r="E52" s="40">
        <v>6.67</v>
      </c>
      <c r="F52" s="39" t="s">
        <v>826</v>
      </c>
      <c r="G52" s="33" t="s">
        <v>826</v>
      </c>
      <c r="H52" s="33" t="s">
        <v>826</v>
      </c>
      <c r="I52" s="33" t="s">
        <v>826</v>
      </c>
      <c r="J52" s="33" t="s">
        <v>826</v>
      </c>
      <c r="K52" s="33" t="s">
        <v>826</v>
      </c>
      <c r="L52" s="45">
        <v>49.21</v>
      </c>
    </row>
    <row r="53" spans="1:12" ht="13.15" customHeight="1" x14ac:dyDescent="0.25">
      <c r="A53" s="36" t="s">
        <v>469</v>
      </c>
      <c r="B53" s="36" t="s">
        <v>470</v>
      </c>
      <c r="C53" s="33">
        <v>15.72</v>
      </c>
      <c r="D53" s="38" t="s">
        <v>826</v>
      </c>
      <c r="E53" s="40">
        <v>16.05</v>
      </c>
      <c r="F53" s="39" t="s">
        <v>826</v>
      </c>
      <c r="G53" s="33" t="s">
        <v>826</v>
      </c>
      <c r="H53" s="33" t="s">
        <v>826</v>
      </c>
      <c r="I53" s="33" t="s">
        <v>826</v>
      </c>
      <c r="J53" s="33" t="s">
        <v>826</v>
      </c>
      <c r="K53" s="33" t="s">
        <v>826</v>
      </c>
      <c r="L53" s="45">
        <v>105.32</v>
      </c>
    </row>
    <row r="54" spans="1:12" ht="13.15" customHeight="1" x14ac:dyDescent="0.25">
      <c r="A54" s="36" t="s">
        <v>472</v>
      </c>
      <c r="B54" s="36" t="s">
        <v>473</v>
      </c>
      <c r="C54" s="33" t="s">
        <v>826</v>
      </c>
      <c r="D54" s="38" t="s">
        <v>826</v>
      </c>
      <c r="E54" s="33" t="s">
        <v>826</v>
      </c>
      <c r="F54" s="39" t="s">
        <v>826</v>
      </c>
      <c r="G54" s="33" t="s">
        <v>826</v>
      </c>
      <c r="H54" s="33" t="s">
        <v>826</v>
      </c>
      <c r="I54" s="40">
        <v>134.49</v>
      </c>
      <c r="J54" s="33" t="s">
        <v>826</v>
      </c>
      <c r="K54" s="33" t="s">
        <v>826</v>
      </c>
      <c r="L54" s="33" t="s">
        <v>826</v>
      </c>
    </row>
    <row r="55" spans="1:12" ht="13.15" customHeight="1" x14ac:dyDescent="0.25">
      <c r="A55" s="36" t="s">
        <v>474</v>
      </c>
      <c r="B55" s="36" t="s">
        <v>475</v>
      </c>
      <c r="C55" s="33" t="s">
        <v>826</v>
      </c>
      <c r="D55" s="38" t="s">
        <v>826</v>
      </c>
      <c r="E55" s="33" t="s">
        <v>826</v>
      </c>
      <c r="F55" s="39" t="s">
        <v>826</v>
      </c>
      <c r="G55" s="40">
        <v>8.2899999999999991</v>
      </c>
      <c r="H55" s="33" t="s">
        <v>826</v>
      </c>
      <c r="I55" s="33" t="s">
        <v>826</v>
      </c>
      <c r="J55" s="33" t="s">
        <v>826</v>
      </c>
      <c r="K55" s="33" t="s">
        <v>826</v>
      </c>
      <c r="L55" s="33" t="s">
        <v>826</v>
      </c>
    </row>
    <row r="56" spans="1:12" ht="13.15" customHeight="1" x14ac:dyDescent="0.25">
      <c r="A56" s="36" t="s">
        <v>476</v>
      </c>
      <c r="B56" s="36" t="s">
        <v>477</v>
      </c>
      <c r="C56" s="33">
        <v>16.25</v>
      </c>
      <c r="D56" s="38" t="s">
        <v>826</v>
      </c>
      <c r="E56" s="40">
        <v>14.78</v>
      </c>
      <c r="F56" s="39" t="s">
        <v>826</v>
      </c>
      <c r="G56" s="33" t="s">
        <v>826</v>
      </c>
      <c r="H56" s="33" t="s">
        <v>826</v>
      </c>
      <c r="I56" s="33" t="s">
        <v>826</v>
      </c>
      <c r="J56" s="33" t="s">
        <v>826</v>
      </c>
      <c r="K56" s="33" t="s">
        <v>826</v>
      </c>
      <c r="L56" s="45">
        <v>125.03</v>
      </c>
    </row>
    <row r="57" spans="1:12" ht="13.15" customHeight="1" x14ac:dyDescent="0.25">
      <c r="A57" s="36" t="s">
        <v>478</v>
      </c>
      <c r="B57" s="36" t="s">
        <v>479</v>
      </c>
      <c r="C57" s="33">
        <v>16.45</v>
      </c>
      <c r="D57" s="38" t="s">
        <v>826</v>
      </c>
      <c r="E57" s="40">
        <v>15.89</v>
      </c>
      <c r="F57" s="39" t="s">
        <v>826</v>
      </c>
      <c r="G57" s="33" t="s">
        <v>826</v>
      </c>
      <c r="H57" s="33" t="s">
        <v>826</v>
      </c>
      <c r="I57" s="33" t="s">
        <v>826</v>
      </c>
      <c r="J57" s="33" t="s">
        <v>826</v>
      </c>
      <c r="K57" s="33" t="s">
        <v>826</v>
      </c>
      <c r="L57" s="45">
        <v>98.93</v>
      </c>
    </row>
    <row r="58" spans="1:12" ht="13.15" customHeight="1" x14ac:dyDescent="0.25">
      <c r="A58" s="36" t="s">
        <v>480</v>
      </c>
      <c r="B58" s="36" t="s">
        <v>481</v>
      </c>
      <c r="C58" s="33">
        <v>33.6</v>
      </c>
      <c r="D58" s="38" t="s">
        <v>826</v>
      </c>
      <c r="E58" s="33" t="s">
        <v>826</v>
      </c>
      <c r="F58" s="39" t="s">
        <v>826</v>
      </c>
      <c r="G58" s="33" t="s">
        <v>826</v>
      </c>
      <c r="H58" s="33" t="s">
        <v>826</v>
      </c>
      <c r="I58" s="33" t="s">
        <v>826</v>
      </c>
      <c r="J58" s="33" t="s">
        <v>826</v>
      </c>
      <c r="K58" s="33" t="s">
        <v>826</v>
      </c>
      <c r="L58" s="33" t="s">
        <v>826</v>
      </c>
    </row>
    <row r="59" spans="1:12" ht="13.15" customHeight="1" x14ac:dyDescent="0.25">
      <c r="A59" s="36" t="s">
        <v>482</v>
      </c>
      <c r="B59" s="36" t="s">
        <v>483</v>
      </c>
      <c r="C59" s="33" t="s">
        <v>826</v>
      </c>
      <c r="D59" s="38" t="s">
        <v>826</v>
      </c>
      <c r="E59" s="33" t="s">
        <v>826</v>
      </c>
      <c r="F59" s="39" t="s">
        <v>826</v>
      </c>
      <c r="G59" s="33" t="s">
        <v>826</v>
      </c>
      <c r="H59" s="33" t="s">
        <v>826</v>
      </c>
      <c r="I59" s="33" t="s">
        <v>826</v>
      </c>
      <c r="J59" s="33" t="s">
        <v>826</v>
      </c>
      <c r="K59" s="40">
        <v>28.25</v>
      </c>
      <c r="L59" s="33" t="s">
        <v>826</v>
      </c>
    </row>
    <row r="60" spans="1:12" ht="13.15" customHeight="1" x14ac:dyDescent="0.25">
      <c r="A60" s="36" t="s">
        <v>484</v>
      </c>
      <c r="B60" s="36" t="s">
        <v>485</v>
      </c>
      <c r="C60" s="33" t="s">
        <v>826</v>
      </c>
      <c r="D60" s="38" t="s">
        <v>826</v>
      </c>
      <c r="E60" s="33" t="s">
        <v>826</v>
      </c>
      <c r="F60" s="39" t="s">
        <v>826</v>
      </c>
      <c r="G60" s="33" t="s">
        <v>826</v>
      </c>
      <c r="H60" s="33" t="s">
        <v>826</v>
      </c>
      <c r="I60" s="33" t="s">
        <v>826</v>
      </c>
      <c r="J60" s="33">
        <v>395.14</v>
      </c>
      <c r="K60" s="33" t="s">
        <v>826</v>
      </c>
      <c r="L60" s="33" t="s">
        <v>826</v>
      </c>
    </row>
    <row r="61" spans="1:12" ht="13.15" customHeight="1" x14ac:dyDescent="0.25">
      <c r="A61" s="36" t="s">
        <v>486</v>
      </c>
      <c r="B61" s="36" t="s">
        <v>487</v>
      </c>
      <c r="C61" s="33" t="s">
        <v>826</v>
      </c>
      <c r="D61" s="38" t="s">
        <v>826</v>
      </c>
      <c r="E61" s="33" t="s">
        <v>826</v>
      </c>
      <c r="F61" s="41">
        <v>2.3199999999999998</v>
      </c>
      <c r="G61" s="33" t="s">
        <v>826</v>
      </c>
      <c r="H61" s="33" t="s">
        <v>826</v>
      </c>
      <c r="I61" s="33" t="s">
        <v>826</v>
      </c>
      <c r="J61" s="33" t="s">
        <v>826</v>
      </c>
      <c r="K61" s="40">
        <v>3.56</v>
      </c>
      <c r="L61" s="33" t="s">
        <v>826</v>
      </c>
    </row>
    <row r="62" spans="1:12" ht="13.15" customHeight="1" x14ac:dyDescent="0.25">
      <c r="A62" s="36" t="s">
        <v>488</v>
      </c>
      <c r="B62" s="36" t="s">
        <v>489</v>
      </c>
      <c r="C62" s="33" t="s">
        <v>826</v>
      </c>
      <c r="D62" s="38" t="s">
        <v>826</v>
      </c>
      <c r="E62" s="33" t="s">
        <v>826</v>
      </c>
      <c r="F62" s="41">
        <v>2.17</v>
      </c>
      <c r="G62" s="33" t="s">
        <v>826</v>
      </c>
      <c r="H62" s="33" t="s">
        <v>826</v>
      </c>
      <c r="I62" s="33" t="s">
        <v>826</v>
      </c>
      <c r="J62" s="33" t="s">
        <v>826</v>
      </c>
      <c r="K62" s="40">
        <v>3.32</v>
      </c>
      <c r="L62" s="33" t="s">
        <v>826</v>
      </c>
    </row>
    <row r="63" spans="1:12" ht="13.15" customHeight="1" x14ac:dyDescent="0.25">
      <c r="A63" s="36" t="s">
        <v>490</v>
      </c>
      <c r="B63" s="36" t="s">
        <v>491</v>
      </c>
      <c r="C63" s="33" t="s">
        <v>826</v>
      </c>
      <c r="D63" s="38" t="s">
        <v>826</v>
      </c>
      <c r="E63" s="33" t="s">
        <v>826</v>
      </c>
      <c r="F63" s="39" t="s">
        <v>826</v>
      </c>
      <c r="G63" s="33" t="s">
        <v>826</v>
      </c>
      <c r="H63" s="33" t="s">
        <v>826</v>
      </c>
      <c r="I63" s="33" t="s">
        <v>826</v>
      </c>
      <c r="J63" s="33" t="s">
        <v>826</v>
      </c>
      <c r="K63" s="40">
        <v>16.920000000000002</v>
      </c>
      <c r="L63" s="33" t="s">
        <v>826</v>
      </c>
    </row>
    <row r="64" spans="1:12" ht="13.15" customHeight="1" x14ac:dyDescent="0.25">
      <c r="A64" s="36" t="s">
        <v>492</v>
      </c>
      <c r="B64" s="36" t="s">
        <v>493</v>
      </c>
      <c r="C64" s="33" t="s">
        <v>826</v>
      </c>
      <c r="D64" s="38" t="s">
        <v>826</v>
      </c>
      <c r="E64" s="33" t="s">
        <v>826</v>
      </c>
      <c r="F64" s="39" t="s">
        <v>826</v>
      </c>
      <c r="G64" s="33" t="s">
        <v>826</v>
      </c>
      <c r="H64" s="40">
        <v>83458.41</v>
      </c>
      <c r="I64" s="33" t="s">
        <v>826</v>
      </c>
      <c r="J64" s="33" t="s">
        <v>826</v>
      </c>
      <c r="K64" s="33" t="s">
        <v>826</v>
      </c>
      <c r="L64" s="33" t="s">
        <v>826</v>
      </c>
    </row>
    <row r="65" spans="1:12" ht="13.15" customHeight="1" x14ac:dyDescent="0.25">
      <c r="A65" s="36">
        <v>10001</v>
      </c>
      <c r="B65" s="36" t="s">
        <v>494</v>
      </c>
      <c r="C65" s="33" t="s">
        <v>826</v>
      </c>
      <c r="D65" s="38" t="s">
        <v>826</v>
      </c>
      <c r="E65" s="33" t="s">
        <v>826</v>
      </c>
      <c r="F65" s="41">
        <v>3.22</v>
      </c>
      <c r="G65" s="33" t="s">
        <v>826</v>
      </c>
      <c r="H65" s="40">
        <v>361.6</v>
      </c>
      <c r="I65" s="33" t="s">
        <v>826</v>
      </c>
      <c r="J65" s="33" t="s">
        <v>826</v>
      </c>
      <c r="K65" s="40">
        <v>4.79</v>
      </c>
      <c r="L65" s="33" t="s">
        <v>826</v>
      </c>
    </row>
    <row r="66" spans="1:12" ht="13.15" customHeight="1" x14ac:dyDescent="0.25">
      <c r="A66" s="36">
        <v>10003</v>
      </c>
      <c r="B66" s="36" t="s">
        <v>495</v>
      </c>
      <c r="C66" s="33" t="s">
        <v>826</v>
      </c>
      <c r="D66" s="38" t="s">
        <v>826</v>
      </c>
      <c r="E66" s="33" t="s">
        <v>826</v>
      </c>
      <c r="F66" s="41">
        <v>3.84</v>
      </c>
      <c r="G66" s="33" t="s">
        <v>826</v>
      </c>
      <c r="H66" s="40">
        <v>496.07</v>
      </c>
      <c r="I66" s="33" t="s">
        <v>826</v>
      </c>
      <c r="J66" s="33" t="s">
        <v>826</v>
      </c>
      <c r="K66" s="40">
        <v>6.05</v>
      </c>
      <c r="L66" s="33" t="s">
        <v>826</v>
      </c>
    </row>
    <row r="67" spans="1:12" ht="13.15" customHeight="1" x14ac:dyDescent="0.25">
      <c r="A67" s="36">
        <v>10004</v>
      </c>
      <c r="B67" s="36" t="s">
        <v>496</v>
      </c>
      <c r="C67" s="33" t="s">
        <v>826</v>
      </c>
      <c r="D67" s="38" t="s">
        <v>826</v>
      </c>
      <c r="E67" s="33" t="s">
        <v>826</v>
      </c>
      <c r="F67" s="41">
        <v>14.52</v>
      </c>
      <c r="G67" s="33" t="s">
        <v>826</v>
      </c>
      <c r="H67" s="40">
        <v>1808</v>
      </c>
      <c r="I67" s="33" t="s">
        <v>826</v>
      </c>
      <c r="J67" s="33" t="s">
        <v>826</v>
      </c>
      <c r="K67" s="40">
        <v>19.2</v>
      </c>
      <c r="L67" s="33" t="s">
        <v>826</v>
      </c>
    </row>
    <row r="68" spans="1:12" ht="13.15" customHeight="1" x14ac:dyDescent="0.25">
      <c r="A68" s="36">
        <v>10005</v>
      </c>
      <c r="B68" s="36" t="s">
        <v>497</v>
      </c>
      <c r="C68" s="33" t="s">
        <v>826</v>
      </c>
      <c r="D68" s="38" t="s">
        <v>826</v>
      </c>
      <c r="E68" s="33" t="s">
        <v>826</v>
      </c>
      <c r="F68" s="41">
        <v>3.39</v>
      </c>
      <c r="G68" s="33" t="s">
        <v>826</v>
      </c>
      <c r="H68" s="40">
        <v>568.54</v>
      </c>
      <c r="I68" s="33" t="s">
        <v>826</v>
      </c>
      <c r="J68" s="33" t="s">
        <v>826</v>
      </c>
      <c r="K68" s="40">
        <v>5.19</v>
      </c>
      <c r="L68" s="33" t="s">
        <v>826</v>
      </c>
    </row>
    <row r="69" spans="1:12" ht="13.15" customHeight="1" x14ac:dyDescent="0.25">
      <c r="A69" s="36">
        <v>10007</v>
      </c>
      <c r="B69" s="36" t="s">
        <v>498</v>
      </c>
      <c r="C69" s="33" t="s">
        <v>826</v>
      </c>
      <c r="D69" s="38" t="s">
        <v>826</v>
      </c>
      <c r="E69" s="33" t="s">
        <v>826</v>
      </c>
      <c r="F69" s="39" t="s">
        <v>826</v>
      </c>
      <c r="G69" s="33" t="s">
        <v>826</v>
      </c>
      <c r="H69" s="40">
        <v>113.35</v>
      </c>
      <c r="I69" s="33" t="s">
        <v>826</v>
      </c>
      <c r="J69" s="33" t="s">
        <v>826</v>
      </c>
      <c r="K69" s="33" t="s">
        <v>826</v>
      </c>
      <c r="L69" s="33" t="s">
        <v>826</v>
      </c>
    </row>
    <row r="70" spans="1:12" ht="13.15" customHeight="1" x14ac:dyDescent="0.25">
      <c r="A70" s="36">
        <v>10008</v>
      </c>
      <c r="B70" s="36" t="s">
        <v>499</v>
      </c>
      <c r="C70" s="33" t="s">
        <v>826</v>
      </c>
      <c r="D70" s="38" t="s">
        <v>826</v>
      </c>
      <c r="E70" s="33" t="s">
        <v>826</v>
      </c>
      <c r="F70" s="41">
        <v>4.76</v>
      </c>
      <c r="G70" s="33" t="s">
        <v>826</v>
      </c>
      <c r="H70" s="40">
        <v>633.78</v>
      </c>
      <c r="I70" s="33" t="s">
        <v>826</v>
      </c>
      <c r="J70" s="33" t="s">
        <v>826</v>
      </c>
      <c r="K70" s="40">
        <v>6.78</v>
      </c>
      <c r="L70" s="33" t="s">
        <v>826</v>
      </c>
    </row>
    <row r="71" spans="1:12" ht="13.15" customHeight="1" x14ac:dyDescent="0.25">
      <c r="A71" s="36">
        <v>10009</v>
      </c>
      <c r="B71" s="36" t="s">
        <v>500</v>
      </c>
      <c r="C71" s="33" t="s">
        <v>826</v>
      </c>
      <c r="D71" s="38" t="s">
        <v>826</v>
      </c>
      <c r="E71" s="33" t="s">
        <v>826</v>
      </c>
      <c r="F71" s="41">
        <v>8.8699999999999992</v>
      </c>
      <c r="G71" s="33" t="s">
        <v>826</v>
      </c>
      <c r="H71" s="40">
        <v>1275.49</v>
      </c>
      <c r="I71" s="33" t="s">
        <v>826</v>
      </c>
      <c r="J71" s="33" t="s">
        <v>826</v>
      </c>
      <c r="K71" s="40">
        <v>15.82</v>
      </c>
      <c r="L71" s="33" t="s">
        <v>826</v>
      </c>
    </row>
    <row r="72" spans="1:12" ht="13.15" customHeight="1" x14ac:dyDescent="0.25">
      <c r="A72" s="36">
        <v>10010</v>
      </c>
      <c r="B72" s="36" t="s">
        <v>501</v>
      </c>
      <c r="C72" s="33" t="s">
        <v>826</v>
      </c>
      <c r="D72" s="38" t="s">
        <v>826</v>
      </c>
      <c r="E72" s="33" t="s">
        <v>826</v>
      </c>
      <c r="F72" s="41">
        <v>7.21</v>
      </c>
      <c r="G72" s="33" t="s">
        <v>826</v>
      </c>
      <c r="H72" s="40">
        <v>901.74</v>
      </c>
      <c r="I72" s="33" t="s">
        <v>826</v>
      </c>
      <c r="J72" s="33" t="s">
        <v>826</v>
      </c>
      <c r="K72" s="33" t="s">
        <v>826</v>
      </c>
      <c r="L72" s="33" t="s">
        <v>826</v>
      </c>
    </row>
    <row r="73" spans="1:12" ht="13.15" customHeight="1" x14ac:dyDescent="0.25">
      <c r="A73" s="36">
        <v>10011</v>
      </c>
      <c r="B73" s="36" t="s">
        <v>502</v>
      </c>
      <c r="C73" s="33" t="s">
        <v>826</v>
      </c>
      <c r="D73" s="38" t="s">
        <v>826</v>
      </c>
      <c r="E73" s="33" t="s">
        <v>826</v>
      </c>
      <c r="F73" s="39" t="s">
        <v>826</v>
      </c>
      <c r="G73" s="33" t="s">
        <v>826</v>
      </c>
      <c r="H73" s="33" t="s">
        <v>826</v>
      </c>
      <c r="I73" s="33" t="s">
        <v>826</v>
      </c>
      <c r="J73" s="33">
        <v>161.59</v>
      </c>
      <c r="K73" s="33" t="s">
        <v>826</v>
      </c>
      <c r="L73" s="33" t="s">
        <v>826</v>
      </c>
    </row>
    <row r="74" spans="1:12" ht="13.15" customHeight="1" x14ac:dyDescent="0.25">
      <c r="A74" s="36">
        <v>11001</v>
      </c>
      <c r="B74" s="36" t="s">
        <v>503</v>
      </c>
      <c r="C74" s="33" t="s">
        <v>826</v>
      </c>
      <c r="D74" s="38" t="s">
        <v>826</v>
      </c>
      <c r="E74" s="33" t="s">
        <v>826</v>
      </c>
      <c r="F74" s="39" t="s">
        <v>826</v>
      </c>
      <c r="G74" s="40">
        <v>6.37</v>
      </c>
      <c r="H74" s="40">
        <v>768.45</v>
      </c>
      <c r="I74" s="33" t="s">
        <v>826</v>
      </c>
      <c r="J74" s="33">
        <v>256.51</v>
      </c>
      <c r="K74" s="40">
        <v>9.6</v>
      </c>
      <c r="L74" s="45">
        <v>69.489999999999995</v>
      </c>
    </row>
    <row r="75" spans="1:12" ht="13.15" customHeight="1" x14ac:dyDescent="0.25">
      <c r="A75" s="36">
        <v>11010</v>
      </c>
      <c r="B75" s="36" t="s">
        <v>504</v>
      </c>
      <c r="C75" s="33" t="s">
        <v>826</v>
      </c>
      <c r="D75" s="38" t="s">
        <v>826</v>
      </c>
      <c r="E75" s="33" t="s">
        <v>826</v>
      </c>
      <c r="F75" s="39" t="s">
        <v>826</v>
      </c>
      <c r="G75" s="40">
        <v>14.93</v>
      </c>
      <c r="H75" s="40">
        <v>2164.5100000000002</v>
      </c>
      <c r="I75" s="33" t="s">
        <v>826</v>
      </c>
      <c r="J75" s="33">
        <v>700.84</v>
      </c>
      <c r="K75" s="40">
        <v>22.8</v>
      </c>
      <c r="L75" s="45">
        <v>180.09</v>
      </c>
    </row>
    <row r="76" spans="1:12" ht="13.15" customHeight="1" x14ac:dyDescent="0.25">
      <c r="A76" s="36">
        <v>12001</v>
      </c>
      <c r="B76" s="36" t="s">
        <v>505</v>
      </c>
      <c r="C76" s="33" t="s">
        <v>826</v>
      </c>
      <c r="D76" s="38" t="s">
        <v>826</v>
      </c>
      <c r="E76" s="33" t="s">
        <v>826</v>
      </c>
      <c r="F76" s="39" t="s">
        <v>826</v>
      </c>
      <c r="G76" s="33" t="s">
        <v>826</v>
      </c>
      <c r="H76" s="33" t="s">
        <v>826</v>
      </c>
      <c r="I76" s="40">
        <v>519.79999999999995</v>
      </c>
      <c r="J76" s="33" t="s">
        <v>826</v>
      </c>
      <c r="K76" s="33" t="s">
        <v>826</v>
      </c>
      <c r="L76" s="33" t="s">
        <v>826</v>
      </c>
    </row>
    <row r="77" spans="1:12" ht="13.15" customHeight="1" x14ac:dyDescent="0.25">
      <c r="A77" s="36">
        <v>12002</v>
      </c>
      <c r="B77" s="36" t="s">
        <v>506</v>
      </c>
      <c r="C77" s="33" t="s">
        <v>826</v>
      </c>
      <c r="D77" s="38" t="s">
        <v>826</v>
      </c>
      <c r="E77" s="33" t="s">
        <v>826</v>
      </c>
      <c r="F77" s="39" t="s">
        <v>826</v>
      </c>
      <c r="G77" s="40">
        <v>22.78</v>
      </c>
      <c r="H77" s="33" t="s">
        <v>826</v>
      </c>
      <c r="I77" s="40">
        <v>226.31</v>
      </c>
      <c r="J77" s="33" t="s">
        <v>826</v>
      </c>
      <c r="K77" s="33" t="s">
        <v>826</v>
      </c>
      <c r="L77" s="33" t="s">
        <v>826</v>
      </c>
    </row>
    <row r="78" spans="1:12" ht="13.15" customHeight="1" x14ac:dyDescent="0.25">
      <c r="A78" s="36">
        <v>12004</v>
      </c>
      <c r="B78" s="36" t="s">
        <v>507</v>
      </c>
      <c r="C78" s="33" t="s">
        <v>826</v>
      </c>
      <c r="D78" s="38" t="s">
        <v>826</v>
      </c>
      <c r="E78" s="33" t="s">
        <v>826</v>
      </c>
      <c r="F78" s="39" t="s">
        <v>826</v>
      </c>
      <c r="G78" s="40">
        <v>15.25</v>
      </c>
      <c r="H78" s="33" t="s">
        <v>826</v>
      </c>
      <c r="I78" s="33" t="s">
        <v>826</v>
      </c>
      <c r="J78" s="33" t="s">
        <v>826</v>
      </c>
      <c r="K78" s="33" t="s">
        <v>826</v>
      </c>
      <c r="L78" s="33" t="s">
        <v>826</v>
      </c>
    </row>
    <row r="79" spans="1:12" ht="13.15" customHeight="1" x14ac:dyDescent="0.25">
      <c r="A79" s="36">
        <v>12005</v>
      </c>
      <c r="B79" s="36" t="s">
        <v>508</v>
      </c>
      <c r="C79" s="33" t="s">
        <v>826</v>
      </c>
      <c r="D79" s="38" t="s">
        <v>826</v>
      </c>
      <c r="E79" s="33" t="s">
        <v>826</v>
      </c>
      <c r="F79" s="39" t="s">
        <v>826</v>
      </c>
      <c r="G79" s="33" t="s">
        <v>826</v>
      </c>
      <c r="H79" s="33" t="s">
        <v>826</v>
      </c>
      <c r="I79" s="40">
        <v>350.3</v>
      </c>
      <c r="J79" s="33" t="s">
        <v>826</v>
      </c>
      <c r="K79" s="33" t="s">
        <v>826</v>
      </c>
      <c r="L79" s="33" t="s">
        <v>826</v>
      </c>
    </row>
    <row r="80" spans="1:12" ht="13.15" customHeight="1" x14ac:dyDescent="0.25">
      <c r="A80" s="36">
        <v>12006</v>
      </c>
      <c r="B80" s="36" t="s">
        <v>509</v>
      </c>
      <c r="C80" s="33" t="s">
        <v>826</v>
      </c>
      <c r="D80" s="38" t="s">
        <v>826</v>
      </c>
      <c r="E80" s="33" t="s">
        <v>826</v>
      </c>
      <c r="F80" s="39" t="s">
        <v>826</v>
      </c>
      <c r="G80" s="33" t="s">
        <v>826</v>
      </c>
      <c r="H80" s="33" t="s">
        <v>826</v>
      </c>
      <c r="I80" s="40">
        <v>7.94</v>
      </c>
      <c r="J80" s="33" t="s">
        <v>826</v>
      </c>
      <c r="K80" s="33" t="s">
        <v>826</v>
      </c>
      <c r="L80" s="33" t="s">
        <v>826</v>
      </c>
    </row>
    <row r="81" spans="1:12" ht="13.15" customHeight="1" x14ac:dyDescent="0.25">
      <c r="A81" s="36">
        <v>12007</v>
      </c>
      <c r="B81" s="36" t="s">
        <v>510</v>
      </c>
      <c r="C81" s="33" t="s">
        <v>826</v>
      </c>
      <c r="D81" s="38" t="s">
        <v>826</v>
      </c>
      <c r="E81" s="33" t="s">
        <v>826</v>
      </c>
      <c r="F81" s="39" t="s">
        <v>826</v>
      </c>
      <c r="G81" s="33" t="s">
        <v>826</v>
      </c>
      <c r="H81" s="33" t="s">
        <v>826</v>
      </c>
      <c r="I81" s="40">
        <v>5.42</v>
      </c>
      <c r="J81" s="33" t="s">
        <v>826</v>
      </c>
      <c r="K81" s="33" t="s">
        <v>826</v>
      </c>
      <c r="L81" s="33" t="s">
        <v>826</v>
      </c>
    </row>
    <row r="82" spans="1:12" ht="13.15" customHeight="1" x14ac:dyDescent="0.25">
      <c r="A82" s="36">
        <v>12008</v>
      </c>
      <c r="B82" s="36" t="s">
        <v>511</v>
      </c>
      <c r="C82" s="33" t="s">
        <v>826</v>
      </c>
      <c r="D82" s="38" t="s">
        <v>826</v>
      </c>
      <c r="E82" s="33" t="s">
        <v>826</v>
      </c>
      <c r="F82" s="39" t="s">
        <v>826</v>
      </c>
      <c r="G82" s="33" t="s">
        <v>826</v>
      </c>
      <c r="H82" s="33" t="s">
        <v>826</v>
      </c>
      <c r="I82" s="40">
        <v>4.5199999999999996</v>
      </c>
      <c r="J82" s="33" t="s">
        <v>826</v>
      </c>
      <c r="K82" s="33" t="s">
        <v>826</v>
      </c>
      <c r="L82" s="33" t="s">
        <v>826</v>
      </c>
    </row>
    <row r="83" spans="1:12" ht="13.15" customHeight="1" x14ac:dyDescent="0.25">
      <c r="A83" s="36">
        <v>12009</v>
      </c>
      <c r="B83" s="36" t="s">
        <v>512</v>
      </c>
      <c r="C83" s="33" t="s">
        <v>826</v>
      </c>
      <c r="D83" s="38" t="s">
        <v>826</v>
      </c>
      <c r="E83" s="33" t="s">
        <v>826</v>
      </c>
      <c r="F83" s="39" t="s">
        <v>826</v>
      </c>
      <c r="G83" s="33" t="s">
        <v>826</v>
      </c>
      <c r="H83" s="33" t="s">
        <v>826</v>
      </c>
      <c r="I83" s="40">
        <v>4.18</v>
      </c>
      <c r="J83" s="33" t="s">
        <v>826</v>
      </c>
      <c r="K83" s="33" t="s">
        <v>826</v>
      </c>
      <c r="L83" s="33" t="s">
        <v>826</v>
      </c>
    </row>
    <row r="84" spans="1:12" ht="13.15" customHeight="1" x14ac:dyDescent="0.25">
      <c r="A84" s="36">
        <v>12010</v>
      </c>
      <c r="B84" s="36" t="s">
        <v>513</v>
      </c>
      <c r="C84" s="33" t="s">
        <v>826</v>
      </c>
      <c r="D84" s="38" t="s">
        <v>826</v>
      </c>
      <c r="E84" s="33" t="s">
        <v>826</v>
      </c>
      <c r="F84" s="39" t="s">
        <v>826</v>
      </c>
      <c r="G84" s="33" t="s">
        <v>826</v>
      </c>
      <c r="H84" s="33" t="s">
        <v>826</v>
      </c>
      <c r="I84" s="40">
        <v>4.5199999999999996</v>
      </c>
      <c r="J84" s="33" t="s">
        <v>826</v>
      </c>
      <c r="K84" s="33" t="s">
        <v>826</v>
      </c>
      <c r="L84" s="33" t="s">
        <v>826</v>
      </c>
    </row>
    <row r="85" spans="1:12" ht="13.15" customHeight="1" x14ac:dyDescent="0.25">
      <c r="A85" s="36">
        <v>13001</v>
      </c>
      <c r="B85" s="36" t="s">
        <v>514</v>
      </c>
      <c r="C85" s="33" t="s">
        <v>826</v>
      </c>
      <c r="D85" s="42">
        <v>3.65</v>
      </c>
      <c r="E85" s="40">
        <v>2.2400000000000002</v>
      </c>
      <c r="F85" s="39" t="s">
        <v>826</v>
      </c>
      <c r="G85" s="33" t="s">
        <v>826</v>
      </c>
      <c r="H85" s="33" t="s">
        <v>826</v>
      </c>
      <c r="I85" s="33" t="s">
        <v>826</v>
      </c>
      <c r="J85" s="33">
        <v>77.400000000000006</v>
      </c>
      <c r="K85" s="33" t="s">
        <v>826</v>
      </c>
      <c r="L85" s="45">
        <v>16.11</v>
      </c>
    </row>
    <row r="86" spans="1:12" ht="13.15" customHeight="1" x14ac:dyDescent="0.25">
      <c r="A86" s="36">
        <v>13008</v>
      </c>
      <c r="B86" s="36" t="s">
        <v>515</v>
      </c>
      <c r="C86" s="33" t="s">
        <v>826</v>
      </c>
      <c r="D86" s="42">
        <v>34.93</v>
      </c>
      <c r="E86" s="40">
        <v>26.28</v>
      </c>
      <c r="F86" s="39" t="s">
        <v>826</v>
      </c>
      <c r="G86" s="33" t="s">
        <v>826</v>
      </c>
      <c r="H86" s="33" t="s">
        <v>826</v>
      </c>
      <c r="I86" s="33" t="s">
        <v>826</v>
      </c>
      <c r="J86" s="33">
        <v>624.02</v>
      </c>
      <c r="K86" s="33" t="s">
        <v>826</v>
      </c>
      <c r="L86" s="45">
        <v>168.8</v>
      </c>
    </row>
    <row r="87" spans="1:12" ht="13.15" customHeight="1" x14ac:dyDescent="0.25">
      <c r="A87" s="36">
        <v>14001</v>
      </c>
      <c r="B87" s="36" t="s">
        <v>516</v>
      </c>
      <c r="C87" s="33" t="s">
        <v>826</v>
      </c>
      <c r="D87" s="38" t="s">
        <v>826</v>
      </c>
      <c r="E87" s="33" t="s">
        <v>826</v>
      </c>
      <c r="F87" s="39" t="s">
        <v>826</v>
      </c>
      <c r="G87" s="46">
        <v>23.73</v>
      </c>
      <c r="H87" s="33" t="s">
        <v>826</v>
      </c>
      <c r="I87" s="33" t="s">
        <v>826</v>
      </c>
      <c r="J87" s="33">
        <v>1130</v>
      </c>
      <c r="K87" s="33" t="s">
        <v>826</v>
      </c>
      <c r="L87" s="33" t="s">
        <v>826</v>
      </c>
    </row>
    <row r="88" spans="1:12" ht="13.15" customHeight="1" x14ac:dyDescent="0.25">
      <c r="A88" s="36">
        <v>14009</v>
      </c>
      <c r="B88" s="36" t="s">
        <v>517</v>
      </c>
      <c r="C88" s="33" t="s">
        <v>826</v>
      </c>
      <c r="D88" s="38" t="s">
        <v>826</v>
      </c>
      <c r="E88" s="33" t="s">
        <v>826</v>
      </c>
      <c r="F88" s="39" t="s">
        <v>826</v>
      </c>
      <c r="G88" s="46">
        <v>11.3</v>
      </c>
      <c r="H88" s="33" t="s">
        <v>826</v>
      </c>
      <c r="I88" s="33" t="s">
        <v>826</v>
      </c>
      <c r="J88" s="33" t="s">
        <v>826</v>
      </c>
      <c r="K88" s="33" t="s">
        <v>826</v>
      </c>
      <c r="L88" s="33" t="s">
        <v>826</v>
      </c>
    </row>
    <row r="89" spans="1:12" ht="13.15" customHeight="1" x14ac:dyDescent="0.25">
      <c r="A89" s="36">
        <v>14010</v>
      </c>
      <c r="B89" s="36" t="s">
        <v>518</v>
      </c>
      <c r="C89" s="33" t="s">
        <v>826</v>
      </c>
      <c r="D89" s="38" t="s">
        <v>826</v>
      </c>
      <c r="E89" s="33" t="s">
        <v>826</v>
      </c>
      <c r="F89" s="39" t="s">
        <v>826</v>
      </c>
      <c r="G89" s="33" t="s">
        <v>826</v>
      </c>
      <c r="H89" s="33" t="s">
        <v>826</v>
      </c>
      <c r="I89" s="33" t="s">
        <v>826</v>
      </c>
      <c r="J89" s="33">
        <v>226</v>
      </c>
      <c r="K89" s="33" t="s">
        <v>826</v>
      </c>
      <c r="L89" s="33" t="s">
        <v>826</v>
      </c>
    </row>
    <row r="90" spans="1:12" ht="13.15" customHeight="1" x14ac:dyDescent="0.25">
      <c r="A90" s="36">
        <v>15001</v>
      </c>
      <c r="B90" s="36" t="s">
        <v>519</v>
      </c>
      <c r="C90" s="33" t="s">
        <v>826</v>
      </c>
      <c r="D90" s="38" t="s">
        <v>826</v>
      </c>
      <c r="E90" s="33" t="s">
        <v>826</v>
      </c>
      <c r="F90" s="41">
        <v>17.850000000000001</v>
      </c>
      <c r="G90" s="40">
        <v>14.11</v>
      </c>
      <c r="H90" s="33" t="s">
        <v>826</v>
      </c>
      <c r="I90" s="33" t="s">
        <v>826</v>
      </c>
      <c r="J90" s="33" t="s">
        <v>826</v>
      </c>
      <c r="K90" s="33" t="s">
        <v>826</v>
      </c>
      <c r="L90" s="33" t="s">
        <v>826</v>
      </c>
    </row>
    <row r="91" spans="1:12" ht="13.15" customHeight="1" x14ac:dyDescent="0.25">
      <c r="A91" s="36">
        <v>15002</v>
      </c>
      <c r="B91" s="36" t="s">
        <v>520</v>
      </c>
      <c r="C91" s="33" t="s">
        <v>826</v>
      </c>
      <c r="D91" s="38" t="s">
        <v>826</v>
      </c>
      <c r="E91" s="33" t="s">
        <v>826</v>
      </c>
      <c r="F91" s="39" t="s">
        <v>826</v>
      </c>
      <c r="G91" s="40">
        <v>1.85</v>
      </c>
      <c r="H91" s="33" t="s">
        <v>826</v>
      </c>
      <c r="I91" s="33" t="s">
        <v>826</v>
      </c>
      <c r="J91" s="33" t="s">
        <v>826</v>
      </c>
      <c r="K91" s="33" t="s">
        <v>826</v>
      </c>
      <c r="L91" s="33" t="s">
        <v>826</v>
      </c>
    </row>
    <row r="92" spans="1:12" ht="13.15" customHeight="1" x14ac:dyDescent="0.25">
      <c r="A92" s="36">
        <v>15003</v>
      </c>
      <c r="B92" s="36" t="s">
        <v>521</v>
      </c>
      <c r="C92" s="33" t="s">
        <v>826</v>
      </c>
      <c r="D92" s="38" t="s">
        <v>826</v>
      </c>
      <c r="E92" s="33" t="s">
        <v>826</v>
      </c>
      <c r="F92" s="39" t="s">
        <v>826</v>
      </c>
      <c r="G92" s="33" t="s">
        <v>826</v>
      </c>
      <c r="H92" s="33" t="s">
        <v>826</v>
      </c>
      <c r="I92" s="33" t="s">
        <v>826</v>
      </c>
      <c r="J92" s="33">
        <v>329.96</v>
      </c>
      <c r="K92" s="33" t="s">
        <v>826</v>
      </c>
      <c r="L92" s="33" t="s">
        <v>826</v>
      </c>
    </row>
    <row r="93" spans="1:12" ht="13.15" customHeight="1" x14ac:dyDescent="0.25">
      <c r="A93" s="36">
        <v>15004</v>
      </c>
      <c r="B93" s="36" t="s">
        <v>522</v>
      </c>
      <c r="C93" s="33" t="s">
        <v>826</v>
      </c>
      <c r="D93" s="38" t="s">
        <v>826</v>
      </c>
      <c r="E93" s="33" t="s">
        <v>826</v>
      </c>
      <c r="F93" s="39" t="s">
        <v>826</v>
      </c>
      <c r="G93" s="40">
        <v>2.4900000000000002</v>
      </c>
      <c r="H93" s="33" t="s">
        <v>826</v>
      </c>
      <c r="I93" s="33" t="s">
        <v>826</v>
      </c>
      <c r="J93" s="33" t="s">
        <v>826</v>
      </c>
      <c r="K93" s="33" t="s">
        <v>826</v>
      </c>
      <c r="L93" s="33" t="s">
        <v>826</v>
      </c>
    </row>
    <row r="94" spans="1:12" ht="13.15" customHeight="1" x14ac:dyDescent="0.25">
      <c r="A94" s="36">
        <v>15005</v>
      </c>
      <c r="B94" s="36" t="s">
        <v>523</v>
      </c>
      <c r="C94" s="33" t="s">
        <v>826</v>
      </c>
      <c r="D94" s="42">
        <v>29.3</v>
      </c>
      <c r="E94" s="40">
        <v>17.940000000000001</v>
      </c>
      <c r="F94" s="39" t="s">
        <v>826</v>
      </c>
      <c r="G94" s="33" t="s">
        <v>826</v>
      </c>
      <c r="H94" s="33" t="s">
        <v>826</v>
      </c>
      <c r="I94" s="33" t="s">
        <v>826</v>
      </c>
      <c r="J94" s="33">
        <v>467.49</v>
      </c>
      <c r="K94" s="33" t="s">
        <v>826</v>
      </c>
      <c r="L94" s="45">
        <v>130.72999999999999</v>
      </c>
    </row>
    <row r="95" spans="1:12" ht="13.15" customHeight="1" x14ac:dyDescent="0.25">
      <c r="A95" s="36">
        <v>15008</v>
      </c>
      <c r="B95" s="36" t="s">
        <v>524</v>
      </c>
      <c r="C95" s="33" t="s">
        <v>826</v>
      </c>
      <c r="D95" s="38" t="s">
        <v>826</v>
      </c>
      <c r="E95" s="33" t="s">
        <v>826</v>
      </c>
      <c r="F95" s="41">
        <v>4.3499999999999996</v>
      </c>
      <c r="G95" s="33" t="s">
        <v>826</v>
      </c>
      <c r="H95" s="33" t="s">
        <v>826</v>
      </c>
      <c r="I95" s="33" t="s">
        <v>826</v>
      </c>
      <c r="J95" s="33" t="s">
        <v>826</v>
      </c>
      <c r="K95" s="33" t="s">
        <v>826</v>
      </c>
      <c r="L95" s="33" t="s">
        <v>826</v>
      </c>
    </row>
    <row r="96" spans="1:12" ht="13.15" customHeight="1" x14ac:dyDescent="0.25">
      <c r="A96" s="36">
        <v>15009</v>
      </c>
      <c r="B96" s="36" t="s">
        <v>525</v>
      </c>
      <c r="C96" s="33" t="s">
        <v>826</v>
      </c>
      <c r="D96" s="42">
        <v>28.45</v>
      </c>
      <c r="E96" s="40">
        <v>18</v>
      </c>
      <c r="F96" s="39" t="s">
        <v>826</v>
      </c>
      <c r="G96" s="33" t="s">
        <v>826</v>
      </c>
      <c r="H96" s="33" t="s">
        <v>826</v>
      </c>
      <c r="I96" s="33" t="s">
        <v>826</v>
      </c>
      <c r="J96" s="33">
        <v>428.54</v>
      </c>
      <c r="K96" s="33" t="s">
        <v>826</v>
      </c>
      <c r="L96" s="45">
        <v>130.47999999999999</v>
      </c>
    </row>
    <row r="97" spans="1:12" ht="13.15" customHeight="1" x14ac:dyDescent="0.25">
      <c r="A97" s="36">
        <v>16001</v>
      </c>
      <c r="B97" s="36" t="s">
        <v>526</v>
      </c>
      <c r="C97" s="33" t="s">
        <v>826</v>
      </c>
      <c r="D97" s="38" t="s">
        <v>826</v>
      </c>
      <c r="E97" s="33" t="s">
        <v>826</v>
      </c>
      <c r="F97" s="39" t="s">
        <v>826</v>
      </c>
      <c r="G97" s="33" t="s">
        <v>826</v>
      </c>
      <c r="H97" s="40">
        <v>84.75</v>
      </c>
      <c r="I97" s="40">
        <v>6.78</v>
      </c>
      <c r="J97" s="33" t="s">
        <v>826</v>
      </c>
      <c r="K97" s="33" t="s">
        <v>826</v>
      </c>
      <c r="L97" s="33" t="s">
        <v>826</v>
      </c>
    </row>
    <row r="98" spans="1:12" ht="13.15" customHeight="1" x14ac:dyDescent="0.25">
      <c r="A98" s="36">
        <v>16008</v>
      </c>
      <c r="B98" s="36" t="s">
        <v>527</v>
      </c>
      <c r="C98" s="33" t="s">
        <v>826</v>
      </c>
      <c r="D98" s="38" t="s">
        <v>826</v>
      </c>
      <c r="E98" s="33" t="s">
        <v>826</v>
      </c>
      <c r="F98" s="39" t="s">
        <v>826</v>
      </c>
      <c r="G98" s="33" t="s">
        <v>826</v>
      </c>
      <c r="H98" s="40">
        <v>2088.66</v>
      </c>
      <c r="I98" s="40">
        <v>151.56</v>
      </c>
      <c r="J98" s="33" t="s">
        <v>826</v>
      </c>
      <c r="K98" s="33" t="s">
        <v>826</v>
      </c>
      <c r="L98" s="33" t="s">
        <v>826</v>
      </c>
    </row>
    <row r="99" spans="1:12" ht="13.15" customHeight="1" x14ac:dyDescent="0.25">
      <c r="A99" s="36">
        <v>16009</v>
      </c>
      <c r="B99" s="36" t="s">
        <v>528</v>
      </c>
      <c r="C99" s="33" t="s">
        <v>826</v>
      </c>
      <c r="D99" s="38" t="s">
        <v>826</v>
      </c>
      <c r="E99" s="33" t="s">
        <v>826</v>
      </c>
      <c r="F99" s="39" t="s">
        <v>826</v>
      </c>
      <c r="G99" s="33" t="s">
        <v>826</v>
      </c>
      <c r="H99" s="40">
        <v>62.15</v>
      </c>
      <c r="I99" s="40">
        <v>4.8600000000000003</v>
      </c>
      <c r="J99" s="33" t="s">
        <v>826</v>
      </c>
      <c r="K99" s="33" t="s">
        <v>826</v>
      </c>
      <c r="L99" s="33" t="s">
        <v>826</v>
      </c>
    </row>
    <row r="100" spans="1:12" ht="13.15" customHeight="1" x14ac:dyDescent="0.25">
      <c r="A100" s="36">
        <v>17001</v>
      </c>
      <c r="B100" s="36" t="s">
        <v>529</v>
      </c>
      <c r="C100" s="33" t="s">
        <v>826</v>
      </c>
      <c r="D100" s="47">
        <v>6.14</v>
      </c>
      <c r="E100" s="33" t="s">
        <v>826</v>
      </c>
      <c r="F100" s="39" t="s">
        <v>826</v>
      </c>
      <c r="G100" s="33" t="s">
        <v>826</v>
      </c>
      <c r="H100" s="33" t="s">
        <v>826</v>
      </c>
      <c r="I100" s="33" t="s">
        <v>826</v>
      </c>
      <c r="J100" s="33" t="s">
        <v>826</v>
      </c>
      <c r="K100" s="33" t="s">
        <v>826</v>
      </c>
      <c r="L100" s="33" t="s">
        <v>826</v>
      </c>
    </row>
    <row r="101" spans="1:12" ht="13.15" customHeight="1" x14ac:dyDescent="0.25">
      <c r="A101" s="36">
        <v>17002</v>
      </c>
      <c r="B101" s="36" t="s">
        <v>530</v>
      </c>
      <c r="C101" s="33">
        <v>382.52</v>
      </c>
      <c r="D101" s="38" t="s">
        <v>826</v>
      </c>
      <c r="E101" s="33" t="s">
        <v>826</v>
      </c>
      <c r="F101" s="39" t="s">
        <v>826</v>
      </c>
      <c r="G101" s="33" t="s">
        <v>826</v>
      </c>
      <c r="H101" s="33" t="s">
        <v>826</v>
      </c>
      <c r="I101" s="33" t="s">
        <v>826</v>
      </c>
      <c r="J101" s="33" t="s">
        <v>826</v>
      </c>
      <c r="K101" s="33" t="s">
        <v>826</v>
      </c>
      <c r="L101" s="33" t="s">
        <v>826</v>
      </c>
    </row>
    <row r="102" spans="1:12" ht="13.15" customHeight="1" x14ac:dyDescent="0.25">
      <c r="A102" s="36">
        <v>17009</v>
      </c>
      <c r="B102" s="36" t="s">
        <v>531</v>
      </c>
      <c r="C102" s="33">
        <v>8.52</v>
      </c>
      <c r="D102" s="47">
        <v>12</v>
      </c>
      <c r="E102" s="43">
        <v>9.18</v>
      </c>
      <c r="F102" s="39" t="s">
        <v>826</v>
      </c>
      <c r="G102" s="33" t="s">
        <v>826</v>
      </c>
      <c r="H102" s="33" t="s">
        <v>826</v>
      </c>
      <c r="I102" s="33" t="s">
        <v>826</v>
      </c>
      <c r="J102" s="33" t="s">
        <v>826</v>
      </c>
      <c r="K102" s="33" t="s">
        <v>826</v>
      </c>
      <c r="L102" s="33" t="s">
        <v>826</v>
      </c>
    </row>
    <row r="103" spans="1:12" ht="13.15" customHeight="1" x14ac:dyDescent="0.25">
      <c r="A103" s="36">
        <v>17010</v>
      </c>
      <c r="B103" s="36" t="s">
        <v>532</v>
      </c>
      <c r="C103" s="33">
        <v>11.12</v>
      </c>
      <c r="D103" s="47">
        <v>17.46</v>
      </c>
      <c r="E103" s="43">
        <v>9.82</v>
      </c>
      <c r="F103" s="39" t="s">
        <v>826</v>
      </c>
      <c r="G103" s="33" t="s">
        <v>826</v>
      </c>
      <c r="H103" s="33" t="s">
        <v>826</v>
      </c>
      <c r="I103" s="33" t="s">
        <v>826</v>
      </c>
      <c r="J103" s="33" t="s">
        <v>826</v>
      </c>
      <c r="K103" s="33" t="s">
        <v>826</v>
      </c>
      <c r="L103" s="33" t="s">
        <v>826</v>
      </c>
    </row>
    <row r="104" spans="1:12" ht="13.15" customHeight="1" x14ac:dyDescent="0.25">
      <c r="A104" s="36">
        <v>18001</v>
      </c>
      <c r="B104" s="36" t="s">
        <v>533</v>
      </c>
      <c r="C104" s="33">
        <v>19.21</v>
      </c>
      <c r="D104" s="47">
        <v>37.21</v>
      </c>
      <c r="E104" s="43">
        <v>19.64</v>
      </c>
      <c r="F104" s="39" t="s">
        <v>826</v>
      </c>
      <c r="G104" s="33" t="s">
        <v>826</v>
      </c>
      <c r="H104" s="33" t="s">
        <v>826</v>
      </c>
      <c r="I104" s="33" t="s">
        <v>826</v>
      </c>
      <c r="J104" s="33" t="s">
        <v>826</v>
      </c>
      <c r="K104" s="33" t="s">
        <v>826</v>
      </c>
      <c r="L104" s="33" t="s">
        <v>826</v>
      </c>
    </row>
    <row r="105" spans="1:12" ht="13.15" customHeight="1" x14ac:dyDescent="0.25">
      <c r="A105" s="36">
        <v>18006</v>
      </c>
      <c r="B105" s="36" t="s">
        <v>534</v>
      </c>
      <c r="C105" s="33">
        <v>46.33</v>
      </c>
      <c r="D105" s="42">
        <v>68.489999999999995</v>
      </c>
      <c r="E105" s="40">
        <v>45.32</v>
      </c>
      <c r="F105" s="39" t="s">
        <v>826</v>
      </c>
      <c r="G105" s="33" t="s">
        <v>826</v>
      </c>
      <c r="H105" s="33" t="s">
        <v>826</v>
      </c>
      <c r="I105" s="33" t="s">
        <v>826</v>
      </c>
      <c r="J105" s="33" t="s">
        <v>826</v>
      </c>
      <c r="K105" s="33" t="s">
        <v>826</v>
      </c>
      <c r="L105" s="33" t="s">
        <v>826</v>
      </c>
    </row>
    <row r="106" spans="1:12" ht="13.15" customHeight="1" x14ac:dyDescent="0.25">
      <c r="A106" s="36">
        <v>18009</v>
      </c>
      <c r="B106" s="36" t="s">
        <v>535</v>
      </c>
      <c r="C106" s="33">
        <v>23.72</v>
      </c>
      <c r="D106" s="47">
        <v>36.31</v>
      </c>
      <c r="E106" s="43">
        <v>24.33</v>
      </c>
      <c r="F106" s="39" t="s">
        <v>826</v>
      </c>
      <c r="G106" s="33" t="s">
        <v>826</v>
      </c>
      <c r="H106" s="33" t="s">
        <v>826</v>
      </c>
      <c r="I106" s="33" t="s">
        <v>826</v>
      </c>
      <c r="J106" s="33" t="s">
        <v>826</v>
      </c>
      <c r="K106" s="33" t="s">
        <v>826</v>
      </c>
      <c r="L106" s="33" t="s">
        <v>826</v>
      </c>
    </row>
    <row r="107" spans="1:12" ht="13.15" customHeight="1" x14ac:dyDescent="0.25">
      <c r="A107" s="36">
        <v>19001</v>
      </c>
      <c r="B107" s="36" t="s">
        <v>536</v>
      </c>
      <c r="C107" s="33" t="s">
        <v>826</v>
      </c>
      <c r="D107" s="42">
        <v>73.849999999999994</v>
      </c>
      <c r="E107" s="33" t="s">
        <v>826</v>
      </c>
      <c r="F107" s="39" t="s">
        <v>826</v>
      </c>
      <c r="G107" s="33" t="s">
        <v>826</v>
      </c>
      <c r="H107" s="33" t="s">
        <v>826</v>
      </c>
      <c r="I107" s="33" t="s">
        <v>826</v>
      </c>
      <c r="J107" s="33" t="s">
        <v>826</v>
      </c>
      <c r="K107" s="33" t="s">
        <v>826</v>
      </c>
      <c r="L107" s="33" t="s">
        <v>826</v>
      </c>
    </row>
    <row r="108" spans="1:12" ht="13.15" customHeight="1" x14ac:dyDescent="0.25">
      <c r="A108" s="36">
        <v>19006</v>
      </c>
      <c r="B108" s="36" t="s">
        <v>538</v>
      </c>
      <c r="C108" s="33" t="s">
        <v>826</v>
      </c>
      <c r="D108" s="42">
        <v>39.74</v>
      </c>
      <c r="E108" s="33" t="s">
        <v>826</v>
      </c>
      <c r="F108" s="39" t="s">
        <v>826</v>
      </c>
      <c r="G108" s="33" t="s">
        <v>826</v>
      </c>
      <c r="H108" s="33" t="s">
        <v>826</v>
      </c>
      <c r="I108" s="33" t="s">
        <v>826</v>
      </c>
      <c r="J108" s="33" t="s">
        <v>826</v>
      </c>
      <c r="K108" s="33" t="s">
        <v>826</v>
      </c>
      <c r="L108" s="33" t="s">
        <v>826</v>
      </c>
    </row>
    <row r="109" spans="1:12" ht="13.15" customHeight="1" x14ac:dyDescent="0.25">
      <c r="A109" s="36">
        <v>19009</v>
      </c>
      <c r="B109" s="36" t="s">
        <v>539</v>
      </c>
      <c r="C109" s="33" t="s">
        <v>826</v>
      </c>
      <c r="D109" s="42">
        <v>21.41</v>
      </c>
      <c r="E109" s="33" t="s">
        <v>826</v>
      </c>
      <c r="F109" s="39" t="s">
        <v>826</v>
      </c>
      <c r="G109" s="33" t="s">
        <v>826</v>
      </c>
      <c r="H109" s="33" t="s">
        <v>826</v>
      </c>
      <c r="I109" s="33" t="s">
        <v>826</v>
      </c>
      <c r="J109" s="33" t="s">
        <v>826</v>
      </c>
      <c r="K109" s="33" t="s">
        <v>826</v>
      </c>
      <c r="L109" s="33" t="s">
        <v>826</v>
      </c>
    </row>
    <row r="110" spans="1:12" ht="13.15" customHeight="1" x14ac:dyDescent="0.25">
      <c r="A110" s="36">
        <v>19010</v>
      </c>
      <c r="B110" s="36" t="s">
        <v>540</v>
      </c>
      <c r="C110" s="33">
        <v>86.29</v>
      </c>
      <c r="D110" s="38" t="s">
        <v>826</v>
      </c>
      <c r="E110" s="33" t="s">
        <v>826</v>
      </c>
      <c r="F110" s="39" t="s">
        <v>826</v>
      </c>
      <c r="G110" s="33" t="s">
        <v>826</v>
      </c>
      <c r="H110" s="33" t="s">
        <v>826</v>
      </c>
      <c r="I110" s="33" t="s">
        <v>826</v>
      </c>
      <c r="J110" s="33" t="s">
        <v>826</v>
      </c>
      <c r="K110" s="33" t="s">
        <v>826</v>
      </c>
      <c r="L110" s="33" t="s">
        <v>826</v>
      </c>
    </row>
    <row r="111" spans="1:12" ht="13.15" customHeight="1" x14ac:dyDescent="0.25">
      <c r="A111" s="36">
        <v>20001</v>
      </c>
      <c r="B111" s="36" t="s">
        <v>541</v>
      </c>
      <c r="C111" s="33" t="s">
        <v>826</v>
      </c>
      <c r="D111" s="38" t="s">
        <v>826</v>
      </c>
      <c r="E111" s="33" t="s">
        <v>826</v>
      </c>
      <c r="F111" s="41">
        <v>113.73</v>
      </c>
      <c r="G111" s="40">
        <v>90.8</v>
      </c>
      <c r="H111" s="33" t="s">
        <v>826</v>
      </c>
      <c r="I111" s="33" t="s">
        <v>826</v>
      </c>
      <c r="J111" s="33">
        <v>4345.21</v>
      </c>
      <c r="K111" s="40">
        <v>131.02000000000001</v>
      </c>
      <c r="L111" s="33" t="s">
        <v>826</v>
      </c>
    </row>
    <row r="112" spans="1:12" ht="13.15" customHeight="1" x14ac:dyDescent="0.25">
      <c r="A112" s="36">
        <v>20004</v>
      </c>
      <c r="B112" s="36" t="s">
        <v>542</v>
      </c>
      <c r="C112" s="33" t="s">
        <v>826</v>
      </c>
      <c r="D112" s="38" t="s">
        <v>826</v>
      </c>
      <c r="E112" s="33" t="s">
        <v>826</v>
      </c>
      <c r="F112" s="41">
        <v>56.5</v>
      </c>
      <c r="G112" s="40">
        <v>53.65</v>
      </c>
      <c r="H112" s="33" t="s">
        <v>826</v>
      </c>
      <c r="I112" s="33" t="s">
        <v>826</v>
      </c>
      <c r="J112" s="33">
        <v>2034</v>
      </c>
      <c r="K112" s="40">
        <v>56.5</v>
      </c>
      <c r="L112" s="33" t="s">
        <v>826</v>
      </c>
    </row>
    <row r="113" spans="1:12" ht="13.15" customHeight="1" x14ac:dyDescent="0.25">
      <c r="A113" s="36">
        <v>20005</v>
      </c>
      <c r="B113" s="36" t="s">
        <v>543</v>
      </c>
      <c r="C113" s="33" t="s">
        <v>826</v>
      </c>
      <c r="D113" s="38" t="s">
        <v>826</v>
      </c>
      <c r="E113" s="33" t="s">
        <v>826</v>
      </c>
      <c r="F113" s="41">
        <v>31.2</v>
      </c>
      <c r="G113" s="40">
        <v>29.94</v>
      </c>
      <c r="H113" s="33" t="s">
        <v>826</v>
      </c>
      <c r="I113" s="33" t="s">
        <v>826</v>
      </c>
      <c r="J113" s="33">
        <v>1017</v>
      </c>
      <c r="K113" s="40">
        <v>35.03</v>
      </c>
      <c r="L113" s="33" t="s">
        <v>826</v>
      </c>
    </row>
    <row r="114" spans="1:12" ht="13.15" customHeight="1" x14ac:dyDescent="0.25">
      <c r="A114" s="36">
        <v>21001</v>
      </c>
      <c r="B114" s="36" t="s">
        <v>544</v>
      </c>
      <c r="C114" s="33">
        <v>25.76</v>
      </c>
      <c r="D114" s="42">
        <v>35.340000000000003</v>
      </c>
      <c r="E114" s="40">
        <v>31.64</v>
      </c>
      <c r="F114" s="41">
        <v>23.38</v>
      </c>
      <c r="G114" s="40">
        <v>18.510000000000002</v>
      </c>
      <c r="H114" s="40">
        <v>1909.3</v>
      </c>
      <c r="I114" s="40">
        <v>169.5</v>
      </c>
      <c r="J114" s="33">
        <v>881.4</v>
      </c>
      <c r="K114" s="40">
        <v>29.09</v>
      </c>
      <c r="L114" s="45">
        <v>226</v>
      </c>
    </row>
    <row r="115" spans="1:12" ht="13.15" customHeight="1" x14ac:dyDescent="0.25">
      <c r="A115" s="36">
        <v>22002</v>
      </c>
      <c r="B115" s="36" t="s">
        <v>545</v>
      </c>
      <c r="C115" s="33" t="s">
        <v>826</v>
      </c>
      <c r="D115" s="38" t="s">
        <v>826</v>
      </c>
      <c r="E115" s="33" t="s">
        <v>826</v>
      </c>
      <c r="F115" s="39" t="s">
        <v>826</v>
      </c>
      <c r="G115" s="40">
        <v>404.92</v>
      </c>
      <c r="H115" s="33" t="s">
        <v>826</v>
      </c>
      <c r="I115" s="40">
        <v>3277</v>
      </c>
      <c r="J115" s="33" t="s">
        <v>826</v>
      </c>
      <c r="K115" s="33" t="s">
        <v>826</v>
      </c>
      <c r="L115" s="33" t="s">
        <v>826</v>
      </c>
    </row>
    <row r="116" spans="1:12" ht="13.15" customHeight="1" x14ac:dyDescent="0.25">
      <c r="A116" s="36">
        <v>22003</v>
      </c>
      <c r="B116" s="36" t="s">
        <v>547</v>
      </c>
      <c r="C116" s="33" t="s">
        <v>826</v>
      </c>
      <c r="D116" s="38" t="s">
        <v>826</v>
      </c>
      <c r="E116" s="33" t="s">
        <v>826</v>
      </c>
      <c r="F116" s="39" t="s">
        <v>826</v>
      </c>
      <c r="G116" s="33" t="s">
        <v>826</v>
      </c>
      <c r="H116" s="33" t="s">
        <v>826</v>
      </c>
      <c r="I116" s="40">
        <v>11665.75</v>
      </c>
      <c r="J116" s="33" t="s">
        <v>826</v>
      </c>
      <c r="K116" s="33" t="s">
        <v>826</v>
      </c>
      <c r="L116" s="33" t="s">
        <v>826</v>
      </c>
    </row>
    <row r="117" spans="1:12" ht="13.15" customHeight="1" x14ac:dyDescent="0.25">
      <c r="A117" s="36">
        <v>22004</v>
      </c>
      <c r="B117" s="36" t="s">
        <v>548</v>
      </c>
      <c r="C117" s="33" t="s">
        <v>826</v>
      </c>
      <c r="D117" s="38" t="s">
        <v>826</v>
      </c>
      <c r="E117" s="33" t="s">
        <v>826</v>
      </c>
      <c r="F117" s="39" t="s">
        <v>826</v>
      </c>
      <c r="G117" s="33" t="s">
        <v>826</v>
      </c>
      <c r="H117" s="33" t="s">
        <v>826</v>
      </c>
      <c r="I117" s="40">
        <v>17458.62</v>
      </c>
      <c r="J117" s="33" t="s">
        <v>826</v>
      </c>
      <c r="K117" s="33" t="s">
        <v>826</v>
      </c>
      <c r="L117" s="33" t="s">
        <v>826</v>
      </c>
    </row>
    <row r="118" spans="1:12" ht="13.15" customHeight="1" x14ac:dyDescent="0.25">
      <c r="A118" s="36">
        <v>22005</v>
      </c>
      <c r="B118" s="36" t="s">
        <v>549</v>
      </c>
      <c r="C118" s="33">
        <v>395.5</v>
      </c>
      <c r="D118" s="38" t="s">
        <v>826</v>
      </c>
      <c r="E118" s="33" t="s">
        <v>826</v>
      </c>
      <c r="F118" s="41">
        <v>339.77</v>
      </c>
      <c r="G118" s="33" t="s">
        <v>826</v>
      </c>
      <c r="H118" s="40">
        <v>34219.69</v>
      </c>
      <c r="I118" s="40">
        <v>1038.8800000000001</v>
      </c>
      <c r="J118" s="33" t="s">
        <v>826</v>
      </c>
      <c r="K118" s="40">
        <v>372.5</v>
      </c>
      <c r="L118" s="33" t="s">
        <v>826</v>
      </c>
    </row>
    <row r="119" spans="1:12" ht="13.15" customHeight="1" x14ac:dyDescent="0.25">
      <c r="A119" s="36">
        <v>22006</v>
      </c>
      <c r="B119" s="36" t="s">
        <v>550</v>
      </c>
      <c r="C119" s="33" t="s">
        <v>826</v>
      </c>
      <c r="D119" s="38" t="s">
        <v>826</v>
      </c>
      <c r="E119" s="33" t="s">
        <v>826</v>
      </c>
      <c r="F119" s="39" t="s">
        <v>826</v>
      </c>
      <c r="G119" s="33" t="s">
        <v>826</v>
      </c>
      <c r="H119" s="40">
        <v>65992</v>
      </c>
      <c r="I119" s="40">
        <v>4949.3999999999996</v>
      </c>
      <c r="J119" s="33" t="s">
        <v>826</v>
      </c>
      <c r="K119" s="33" t="s">
        <v>826</v>
      </c>
      <c r="L119" s="33" t="s">
        <v>826</v>
      </c>
    </row>
    <row r="120" spans="1:12" ht="13.15" customHeight="1" x14ac:dyDescent="0.25">
      <c r="A120" s="36">
        <v>22007</v>
      </c>
      <c r="B120" s="36" t="s">
        <v>551</v>
      </c>
      <c r="C120" s="33" t="s">
        <v>826</v>
      </c>
      <c r="D120" s="38" t="s">
        <v>826</v>
      </c>
      <c r="E120" s="33" t="s">
        <v>826</v>
      </c>
      <c r="F120" s="39" t="s">
        <v>826</v>
      </c>
      <c r="G120" s="33" t="s">
        <v>826</v>
      </c>
      <c r="H120" s="40">
        <v>64297</v>
      </c>
      <c r="I120" s="40">
        <v>5311</v>
      </c>
      <c r="J120" s="33" t="s">
        <v>826</v>
      </c>
      <c r="K120" s="33" t="s">
        <v>826</v>
      </c>
      <c r="L120" s="33" t="s">
        <v>826</v>
      </c>
    </row>
    <row r="121" spans="1:12" ht="13.15" customHeight="1" x14ac:dyDescent="0.25">
      <c r="A121" s="36">
        <v>22008</v>
      </c>
      <c r="B121" s="36" t="s">
        <v>552</v>
      </c>
      <c r="C121" s="33" t="s">
        <v>826</v>
      </c>
      <c r="D121" s="38" t="s">
        <v>826</v>
      </c>
      <c r="E121" s="33" t="s">
        <v>826</v>
      </c>
      <c r="F121" s="39" t="s">
        <v>826</v>
      </c>
      <c r="G121" s="33" t="s">
        <v>826</v>
      </c>
      <c r="H121" s="40">
        <v>67438.399999999994</v>
      </c>
      <c r="I121" s="40">
        <v>5650</v>
      </c>
      <c r="J121" s="33" t="s">
        <v>826</v>
      </c>
      <c r="K121" s="33" t="s">
        <v>826</v>
      </c>
      <c r="L121" s="33" t="s">
        <v>826</v>
      </c>
    </row>
    <row r="122" spans="1:12" ht="13.15" customHeight="1" x14ac:dyDescent="0.25">
      <c r="A122" s="36">
        <v>22009</v>
      </c>
      <c r="B122" s="36" t="s">
        <v>553</v>
      </c>
      <c r="C122" s="33">
        <v>7132.82</v>
      </c>
      <c r="D122" s="38" t="s">
        <v>826</v>
      </c>
      <c r="E122" s="33" t="s">
        <v>826</v>
      </c>
      <c r="F122" s="39" t="s">
        <v>826</v>
      </c>
      <c r="G122" s="33" t="s">
        <v>826</v>
      </c>
      <c r="H122" s="33" t="s">
        <v>826</v>
      </c>
      <c r="I122" s="33" t="s">
        <v>826</v>
      </c>
      <c r="J122" s="33" t="s">
        <v>826</v>
      </c>
      <c r="K122" s="33" t="s">
        <v>826</v>
      </c>
      <c r="L122" s="33" t="s">
        <v>826</v>
      </c>
    </row>
    <row r="123" spans="1:12" ht="13.15" customHeight="1" x14ac:dyDescent="0.25">
      <c r="A123" s="36">
        <v>23001</v>
      </c>
      <c r="B123" s="36" t="s">
        <v>554</v>
      </c>
      <c r="C123" s="33" t="s">
        <v>826</v>
      </c>
      <c r="D123" s="42">
        <v>794.66</v>
      </c>
      <c r="E123" s="40">
        <v>463.3</v>
      </c>
      <c r="F123" s="39" t="s">
        <v>826</v>
      </c>
      <c r="G123" s="33" t="s">
        <v>826</v>
      </c>
      <c r="H123" s="33" t="s">
        <v>826</v>
      </c>
      <c r="I123" s="33" t="s">
        <v>826</v>
      </c>
      <c r="J123" s="33" t="s">
        <v>826</v>
      </c>
      <c r="K123" s="33" t="s">
        <v>826</v>
      </c>
      <c r="L123" s="33" t="s">
        <v>826</v>
      </c>
    </row>
    <row r="124" spans="1:12" ht="13.15" customHeight="1" x14ac:dyDescent="0.25">
      <c r="A124" s="36">
        <v>23002</v>
      </c>
      <c r="B124" s="36" t="s">
        <v>555</v>
      </c>
      <c r="C124" s="33" t="s">
        <v>826</v>
      </c>
      <c r="D124" s="42">
        <v>40.229999999999997</v>
      </c>
      <c r="E124" s="33" t="s">
        <v>826</v>
      </c>
      <c r="F124" s="39" t="s">
        <v>826</v>
      </c>
      <c r="G124" s="33" t="s">
        <v>826</v>
      </c>
      <c r="H124" s="33" t="s">
        <v>826</v>
      </c>
      <c r="I124" s="33" t="s">
        <v>826</v>
      </c>
      <c r="J124" s="33" t="s">
        <v>826</v>
      </c>
      <c r="K124" s="33" t="s">
        <v>826</v>
      </c>
      <c r="L124" s="33" t="s">
        <v>826</v>
      </c>
    </row>
    <row r="125" spans="1:12" ht="13.15" customHeight="1" x14ac:dyDescent="0.25">
      <c r="A125" s="36">
        <v>23003</v>
      </c>
      <c r="B125" s="36" t="s">
        <v>556</v>
      </c>
      <c r="C125" s="33" t="s">
        <v>826</v>
      </c>
      <c r="D125" s="42">
        <v>27.06</v>
      </c>
      <c r="E125" s="33" t="s">
        <v>826</v>
      </c>
      <c r="F125" s="39" t="s">
        <v>826</v>
      </c>
      <c r="G125" s="33" t="s">
        <v>826</v>
      </c>
      <c r="H125" s="33" t="s">
        <v>826</v>
      </c>
      <c r="I125" s="33" t="s">
        <v>826</v>
      </c>
      <c r="J125" s="33" t="s">
        <v>826</v>
      </c>
      <c r="K125" s="33" t="s">
        <v>826</v>
      </c>
      <c r="L125" s="33" t="s">
        <v>826</v>
      </c>
    </row>
    <row r="126" spans="1:12" ht="13.15" customHeight="1" x14ac:dyDescent="0.25">
      <c r="A126" s="36">
        <v>23004</v>
      </c>
      <c r="B126" s="36" t="s">
        <v>557</v>
      </c>
      <c r="C126" s="33" t="s">
        <v>826</v>
      </c>
      <c r="D126" s="42">
        <v>17.510000000000002</v>
      </c>
      <c r="E126" s="33" t="s">
        <v>826</v>
      </c>
      <c r="F126" s="39" t="s">
        <v>826</v>
      </c>
      <c r="G126" s="33" t="s">
        <v>826</v>
      </c>
      <c r="H126" s="33" t="s">
        <v>826</v>
      </c>
      <c r="I126" s="33" t="s">
        <v>826</v>
      </c>
      <c r="J126" s="33" t="s">
        <v>826</v>
      </c>
      <c r="K126" s="33" t="s">
        <v>826</v>
      </c>
      <c r="L126" s="33" t="s">
        <v>826</v>
      </c>
    </row>
    <row r="127" spans="1:12" ht="13.15" customHeight="1" x14ac:dyDescent="0.25">
      <c r="A127" s="36">
        <v>23005</v>
      </c>
      <c r="B127" s="36" t="s">
        <v>558</v>
      </c>
      <c r="C127" s="33" t="s">
        <v>826</v>
      </c>
      <c r="D127" s="42">
        <v>319</v>
      </c>
      <c r="E127" s="33" t="s">
        <v>826</v>
      </c>
      <c r="F127" s="39" t="s">
        <v>826</v>
      </c>
      <c r="G127" s="33" t="s">
        <v>826</v>
      </c>
      <c r="H127" s="33" t="s">
        <v>826</v>
      </c>
      <c r="I127" s="33" t="s">
        <v>826</v>
      </c>
      <c r="J127" s="33" t="s">
        <v>826</v>
      </c>
      <c r="K127" s="33" t="s">
        <v>826</v>
      </c>
      <c r="L127" s="33" t="s">
        <v>826</v>
      </c>
    </row>
    <row r="128" spans="1:12" ht="13.15" customHeight="1" x14ac:dyDescent="0.25">
      <c r="A128" s="36">
        <v>23006</v>
      </c>
      <c r="B128" s="36" t="s">
        <v>559</v>
      </c>
      <c r="C128" s="33">
        <v>469.51</v>
      </c>
      <c r="D128" s="38" t="s">
        <v>826</v>
      </c>
      <c r="E128" s="33" t="s">
        <v>826</v>
      </c>
      <c r="F128" s="39" t="s">
        <v>826</v>
      </c>
      <c r="G128" s="33" t="s">
        <v>826</v>
      </c>
      <c r="H128" s="33" t="s">
        <v>826</v>
      </c>
      <c r="I128" s="33" t="s">
        <v>826</v>
      </c>
      <c r="J128" s="33" t="s">
        <v>826</v>
      </c>
      <c r="K128" s="33" t="s">
        <v>826</v>
      </c>
      <c r="L128" s="33" t="s">
        <v>826</v>
      </c>
    </row>
    <row r="129" spans="1:12" ht="13.15" customHeight="1" x14ac:dyDescent="0.25">
      <c r="A129" s="36">
        <v>23007</v>
      </c>
      <c r="B129" s="36" t="s">
        <v>560</v>
      </c>
      <c r="C129" s="33">
        <v>585.72</v>
      </c>
      <c r="D129" s="38" t="s">
        <v>826</v>
      </c>
      <c r="E129" s="33" t="s">
        <v>826</v>
      </c>
      <c r="F129" s="39" t="s">
        <v>826</v>
      </c>
      <c r="G129" s="33" t="s">
        <v>826</v>
      </c>
      <c r="H129" s="33" t="s">
        <v>826</v>
      </c>
      <c r="I129" s="33" t="s">
        <v>826</v>
      </c>
      <c r="J129" s="33" t="s">
        <v>826</v>
      </c>
      <c r="K129" s="33" t="s">
        <v>826</v>
      </c>
      <c r="L129" s="33" t="s">
        <v>826</v>
      </c>
    </row>
    <row r="130" spans="1:12" ht="13.15" customHeight="1" x14ac:dyDescent="0.25">
      <c r="A130" s="36">
        <v>23008</v>
      </c>
      <c r="B130" s="36" t="s">
        <v>561</v>
      </c>
      <c r="C130" s="33">
        <v>133.91</v>
      </c>
      <c r="D130" s="38" t="s">
        <v>826</v>
      </c>
      <c r="E130" s="33" t="s">
        <v>826</v>
      </c>
      <c r="F130" s="39" t="s">
        <v>826</v>
      </c>
      <c r="G130" s="33" t="s">
        <v>826</v>
      </c>
      <c r="H130" s="33" t="s">
        <v>826</v>
      </c>
      <c r="I130" s="33" t="s">
        <v>826</v>
      </c>
      <c r="J130" s="33" t="s">
        <v>826</v>
      </c>
      <c r="K130" s="33" t="s">
        <v>826</v>
      </c>
      <c r="L130" s="33" t="s">
        <v>826</v>
      </c>
    </row>
    <row r="131" spans="1:12" ht="13.15" customHeight="1" x14ac:dyDescent="0.25">
      <c r="A131" s="36">
        <v>23009</v>
      </c>
      <c r="B131" s="36" t="s">
        <v>562</v>
      </c>
      <c r="C131" s="33" t="s">
        <v>826</v>
      </c>
      <c r="D131" s="38" t="s">
        <v>826</v>
      </c>
      <c r="E131" s="33" t="s">
        <v>826</v>
      </c>
      <c r="F131" s="39" t="s">
        <v>826</v>
      </c>
      <c r="G131" s="33" t="s">
        <v>826</v>
      </c>
      <c r="H131" s="33" t="s">
        <v>826</v>
      </c>
      <c r="I131" s="33" t="s">
        <v>826</v>
      </c>
      <c r="J131" s="33">
        <v>36685.449999999997</v>
      </c>
      <c r="K131" s="33" t="s">
        <v>826</v>
      </c>
      <c r="L131" s="33" t="s">
        <v>826</v>
      </c>
    </row>
    <row r="132" spans="1:12" ht="13.15" customHeight="1" x14ac:dyDescent="0.25">
      <c r="A132" s="36">
        <v>23010</v>
      </c>
      <c r="B132" s="36" t="s">
        <v>563</v>
      </c>
      <c r="C132" s="33" t="s">
        <v>826</v>
      </c>
      <c r="D132" s="42">
        <v>1565.05</v>
      </c>
      <c r="E132" s="33" t="s">
        <v>826</v>
      </c>
      <c r="F132" s="39" t="s">
        <v>826</v>
      </c>
      <c r="G132" s="33" t="s">
        <v>826</v>
      </c>
      <c r="H132" s="33" t="s">
        <v>826</v>
      </c>
      <c r="I132" s="33" t="s">
        <v>826</v>
      </c>
      <c r="J132" s="33" t="s">
        <v>826</v>
      </c>
      <c r="K132" s="33" t="s">
        <v>826</v>
      </c>
      <c r="L132" s="33" t="s">
        <v>826</v>
      </c>
    </row>
    <row r="133" spans="1:12" ht="13.15" customHeight="1" x14ac:dyDescent="0.25">
      <c r="A133" s="36">
        <v>23011</v>
      </c>
      <c r="B133" s="36" t="s">
        <v>564</v>
      </c>
      <c r="C133" s="33" t="s">
        <v>826</v>
      </c>
      <c r="D133" s="38" t="s">
        <v>826</v>
      </c>
      <c r="E133" s="33" t="s">
        <v>826</v>
      </c>
      <c r="F133" s="39" t="s">
        <v>826</v>
      </c>
      <c r="G133" s="33" t="s">
        <v>826</v>
      </c>
      <c r="H133" s="40">
        <v>2544.7600000000002</v>
      </c>
      <c r="I133" s="33" t="s">
        <v>826</v>
      </c>
      <c r="J133" s="33" t="s">
        <v>826</v>
      </c>
      <c r="K133" s="33" t="s">
        <v>826</v>
      </c>
      <c r="L133" s="33" t="s">
        <v>826</v>
      </c>
    </row>
    <row r="134" spans="1:12" ht="13.15" customHeight="1" x14ac:dyDescent="0.25">
      <c r="A134" s="36">
        <v>24001</v>
      </c>
      <c r="B134" s="36" t="s">
        <v>565</v>
      </c>
      <c r="C134" s="33" t="s">
        <v>826</v>
      </c>
      <c r="D134" s="38" t="s">
        <v>826</v>
      </c>
      <c r="E134" s="40">
        <v>146.9</v>
      </c>
      <c r="F134" s="39" t="s">
        <v>826</v>
      </c>
      <c r="G134" s="33" t="s">
        <v>826</v>
      </c>
      <c r="H134" s="33" t="s">
        <v>826</v>
      </c>
      <c r="I134" s="33" t="s">
        <v>826</v>
      </c>
      <c r="J134" s="33" t="s">
        <v>826</v>
      </c>
      <c r="K134" s="33" t="s">
        <v>826</v>
      </c>
      <c r="L134" s="33" t="s">
        <v>826</v>
      </c>
    </row>
    <row r="135" spans="1:12" ht="13.15" customHeight="1" x14ac:dyDescent="0.25">
      <c r="A135" s="36">
        <v>24002</v>
      </c>
      <c r="B135" s="36" t="s">
        <v>566</v>
      </c>
      <c r="C135" s="33" t="s">
        <v>826</v>
      </c>
      <c r="D135" s="38" t="s">
        <v>826</v>
      </c>
      <c r="E135" s="40">
        <v>235.04</v>
      </c>
      <c r="F135" s="39" t="s">
        <v>826</v>
      </c>
      <c r="G135" s="33" t="s">
        <v>826</v>
      </c>
      <c r="H135" s="33" t="s">
        <v>826</v>
      </c>
      <c r="I135" s="33" t="s">
        <v>826</v>
      </c>
      <c r="J135" s="33" t="s">
        <v>826</v>
      </c>
      <c r="K135" s="33" t="s">
        <v>826</v>
      </c>
      <c r="L135" s="33" t="s">
        <v>826</v>
      </c>
    </row>
    <row r="136" spans="1:12" ht="13.15" customHeight="1" x14ac:dyDescent="0.25">
      <c r="A136" s="36">
        <v>24003</v>
      </c>
      <c r="B136" s="36" t="s">
        <v>567</v>
      </c>
      <c r="C136" s="33" t="s">
        <v>826</v>
      </c>
      <c r="D136" s="38" t="s">
        <v>826</v>
      </c>
      <c r="E136" s="40">
        <v>201.14</v>
      </c>
      <c r="F136" s="39" t="s">
        <v>826</v>
      </c>
      <c r="G136" s="33" t="s">
        <v>826</v>
      </c>
      <c r="H136" s="33" t="s">
        <v>826</v>
      </c>
      <c r="I136" s="33" t="s">
        <v>826</v>
      </c>
      <c r="J136" s="33" t="s">
        <v>826</v>
      </c>
      <c r="K136" s="33" t="s">
        <v>826</v>
      </c>
      <c r="L136" s="33" t="s">
        <v>826</v>
      </c>
    </row>
    <row r="137" spans="1:12" ht="13.15" customHeight="1" x14ac:dyDescent="0.25">
      <c r="A137" s="36">
        <v>24004</v>
      </c>
      <c r="B137" s="36" t="s">
        <v>568</v>
      </c>
      <c r="C137" s="33" t="s">
        <v>826</v>
      </c>
      <c r="D137" s="38" t="s">
        <v>826</v>
      </c>
      <c r="E137" s="40">
        <v>152.55000000000001</v>
      </c>
      <c r="F137" s="39" t="s">
        <v>826</v>
      </c>
      <c r="G137" s="33" t="s">
        <v>826</v>
      </c>
      <c r="H137" s="33" t="s">
        <v>826</v>
      </c>
      <c r="I137" s="33" t="s">
        <v>826</v>
      </c>
      <c r="J137" s="33" t="s">
        <v>826</v>
      </c>
      <c r="K137" s="33" t="s">
        <v>826</v>
      </c>
      <c r="L137" s="33" t="s">
        <v>826</v>
      </c>
    </row>
    <row r="138" spans="1:12" ht="13.15" customHeight="1" x14ac:dyDescent="0.25">
      <c r="A138" s="36">
        <v>25001</v>
      </c>
      <c r="B138" s="36" t="s">
        <v>569</v>
      </c>
      <c r="C138" s="33">
        <v>126.79</v>
      </c>
      <c r="D138" s="38" t="s">
        <v>826</v>
      </c>
      <c r="E138" s="33" t="s">
        <v>826</v>
      </c>
      <c r="F138" s="39" t="s">
        <v>826</v>
      </c>
      <c r="G138" s="33" t="s">
        <v>826</v>
      </c>
      <c r="H138" s="40">
        <v>10509</v>
      </c>
      <c r="I138" s="33" t="s">
        <v>826</v>
      </c>
      <c r="J138" s="33" t="s">
        <v>826</v>
      </c>
      <c r="K138" s="33" t="s">
        <v>826</v>
      </c>
      <c r="L138" s="33" t="s">
        <v>826</v>
      </c>
    </row>
    <row r="139" spans="1:12" ht="13.15" customHeight="1" x14ac:dyDescent="0.25">
      <c r="A139" s="36">
        <v>25002</v>
      </c>
      <c r="B139" s="36" t="s">
        <v>570</v>
      </c>
      <c r="C139" s="33" t="s">
        <v>826</v>
      </c>
      <c r="D139" s="38" t="s">
        <v>826</v>
      </c>
      <c r="E139" s="33" t="s">
        <v>826</v>
      </c>
      <c r="F139" s="41">
        <v>148.91</v>
      </c>
      <c r="G139" s="40">
        <v>115.37</v>
      </c>
      <c r="H139" s="33" t="s">
        <v>826</v>
      </c>
      <c r="I139" s="33" t="s">
        <v>826</v>
      </c>
      <c r="J139" s="33" t="s">
        <v>826</v>
      </c>
      <c r="K139" s="33" t="s">
        <v>826</v>
      </c>
      <c r="L139" s="33" t="s">
        <v>826</v>
      </c>
    </row>
    <row r="140" spans="1:12" ht="13.15" customHeight="1" x14ac:dyDescent="0.25">
      <c r="A140" s="36">
        <v>25003</v>
      </c>
      <c r="B140" s="36" t="s">
        <v>571</v>
      </c>
      <c r="C140" s="33" t="s">
        <v>826</v>
      </c>
      <c r="D140" s="42">
        <v>45.31</v>
      </c>
      <c r="E140" s="33" t="s">
        <v>826</v>
      </c>
      <c r="F140" s="39" t="s">
        <v>826</v>
      </c>
      <c r="G140" s="33" t="s">
        <v>826</v>
      </c>
      <c r="H140" s="33" t="s">
        <v>826</v>
      </c>
      <c r="I140" s="33" t="s">
        <v>826</v>
      </c>
      <c r="J140" s="33">
        <v>813.75</v>
      </c>
      <c r="K140" s="33" t="s">
        <v>826</v>
      </c>
      <c r="L140" s="33" t="s">
        <v>826</v>
      </c>
    </row>
    <row r="141" spans="1:12" ht="13.15" customHeight="1" x14ac:dyDescent="0.25">
      <c r="A141" s="36">
        <v>25004</v>
      </c>
      <c r="B141" s="36" t="s">
        <v>572</v>
      </c>
      <c r="C141" s="33" t="s">
        <v>826</v>
      </c>
      <c r="D141" s="38" t="s">
        <v>826</v>
      </c>
      <c r="E141" s="33" t="s">
        <v>826</v>
      </c>
      <c r="F141" s="41">
        <v>71.22</v>
      </c>
      <c r="G141" s="33" t="s">
        <v>826</v>
      </c>
      <c r="H141" s="33" t="s">
        <v>826</v>
      </c>
      <c r="I141" s="33" t="s">
        <v>826</v>
      </c>
      <c r="J141" s="33">
        <v>2644.6</v>
      </c>
      <c r="K141" s="33" t="s">
        <v>826</v>
      </c>
      <c r="L141" s="33" t="s">
        <v>826</v>
      </c>
    </row>
    <row r="142" spans="1:12" ht="13.15" customHeight="1" x14ac:dyDescent="0.25">
      <c r="A142" s="36">
        <v>25005</v>
      </c>
      <c r="B142" s="36" t="s">
        <v>573</v>
      </c>
      <c r="C142" s="33" t="s">
        <v>826</v>
      </c>
      <c r="D142" s="38" t="s">
        <v>826</v>
      </c>
      <c r="E142" s="33" t="s">
        <v>826</v>
      </c>
      <c r="F142" s="39" t="s">
        <v>826</v>
      </c>
      <c r="G142" s="40">
        <v>152.55000000000001</v>
      </c>
      <c r="H142" s="40">
        <v>19899.68</v>
      </c>
      <c r="I142" s="33" t="s">
        <v>826</v>
      </c>
      <c r="J142" s="33" t="s">
        <v>826</v>
      </c>
      <c r="K142" s="33" t="s">
        <v>826</v>
      </c>
      <c r="L142" s="33" t="s">
        <v>826</v>
      </c>
    </row>
    <row r="143" spans="1:12" ht="13.15" customHeight="1" x14ac:dyDescent="0.25">
      <c r="A143" s="36">
        <v>25006</v>
      </c>
      <c r="B143" s="36" t="s">
        <v>574</v>
      </c>
      <c r="C143" s="33">
        <v>1085.1400000000001</v>
      </c>
      <c r="D143" s="42">
        <v>1751.77</v>
      </c>
      <c r="E143" s="33" t="s">
        <v>826</v>
      </c>
      <c r="F143" s="39" t="s">
        <v>826</v>
      </c>
      <c r="G143" s="33" t="s">
        <v>826</v>
      </c>
      <c r="H143" s="33" t="s">
        <v>826</v>
      </c>
      <c r="I143" s="33" t="s">
        <v>826</v>
      </c>
      <c r="J143" s="33" t="s">
        <v>826</v>
      </c>
      <c r="K143" s="33" t="s">
        <v>826</v>
      </c>
      <c r="L143" s="33" t="s">
        <v>826</v>
      </c>
    </row>
    <row r="144" spans="1:12" ht="13.15" customHeight="1" x14ac:dyDescent="0.25">
      <c r="A144" s="36">
        <v>25007</v>
      </c>
      <c r="B144" s="36" t="s">
        <v>575</v>
      </c>
      <c r="C144" s="33" t="s">
        <v>826</v>
      </c>
      <c r="D144" s="38" t="s">
        <v>826</v>
      </c>
      <c r="E144" s="33" t="s">
        <v>826</v>
      </c>
      <c r="F144" s="39" t="s">
        <v>826</v>
      </c>
      <c r="G144" s="40">
        <v>162.21</v>
      </c>
      <c r="H144" s="40">
        <v>18084.169999999998</v>
      </c>
      <c r="I144" s="33" t="s">
        <v>826</v>
      </c>
      <c r="J144" s="33">
        <v>8136.42</v>
      </c>
      <c r="K144" s="40">
        <v>256.51</v>
      </c>
      <c r="L144" s="45">
        <v>1865.19</v>
      </c>
    </row>
    <row r="145" spans="1:12" ht="13.15" customHeight="1" x14ac:dyDescent="0.25">
      <c r="A145" s="36">
        <v>25008</v>
      </c>
      <c r="B145" s="36" t="s">
        <v>576</v>
      </c>
      <c r="C145" s="33">
        <v>40.340000000000003</v>
      </c>
      <c r="D145" s="38" t="s">
        <v>826</v>
      </c>
      <c r="E145" s="33" t="s">
        <v>826</v>
      </c>
      <c r="F145" s="41">
        <v>32.24</v>
      </c>
      <c r="G145" s="33" t="s">
        <v>826</v>
      </c>
      <c r="H145" s="33" t="s">
        <v>826</v>
      </c>
      <c r="I145" s="33" t="s">
        <v>826</v>
      </c>
      <c r="J145" s="33" t="s">
        <v>826</v>
      </c>
      <c r="K145" s="40">
        <v>42.43</v>
      </c>
      <c r="L145" s="33" t="s">
        <v>826</v>
      </c>
    </row>
    <row r="146" spans="1:12" ht="13.15" customHeight="1" x14ac:dyDescent="0.25">
      <c r="A146" s="36">
        <v>25009</v>
      </c>
      <c r="B146" s="36" t="s">
        <v>577</v>
      </c>
      <c r="C146" s="33" t="s">
        <v>826</v>
      </c>
      <c r="D146" s="38" t="s">
        <v>826</v>
      </c>
      <c r="E146" s="33" t="s">
        <v>826</v>
      </c>
      <c r="F146" s="41">
        <v>17.920000000000002</v>
      </c>
      <c r="G146" s="33" t="s">
        <v>826</v>
      </c>
      <c r="H146" s="40">
        <v>1795.66</v>
      </c>
      <c r="I146" s="33" t="s">
        <v>826</v>
      </c>
      <c r="J146" s="33" t="s">
        <v>826</v>
      </c>
      <c r="K146" s="33" t="s">
        <v>826</v>
      </c>
      <c r="L146" s="33" t="s">
        <v>826</v>
      </c>
    </row>
    <row r="147" spans="1:12" ht="13.15" customHeight="1" x14ac:dyDescent="0.25">
      <c r="A147" s="36">
        <v>25010</v>
      </c>
      <c r="B147" s="36" t="s">
        <v>578</v>
      </c>
      <c r="C147" s="33" t="s">
        <v>826</v>
      </c>
      <c r="D147" s="38" t="s">
        <v>826</v>
      </c>
      <c r="E147" s="33" t="s">
        <v>826</v>
      </c>
      <c r="F147" s="39" t="s">
        <v>826</v>
      </c>
      <c r="G147" s="33" t="s">
        <v>826</v>
      </c>
      <c r="H147" s="40">
        <v>2496</v>
      </c>
      <c r="I147" s="33" t="s">
        <v>826</v>
      </c>
      <c r="J147" s="33" t="s">
        <v>826</v>
      </c>
      <c r="K147" s="33" t="s">
        <v>826</v>
      </c>
      <c r="L147" s="33" t="s">
        <v>826</v>
      </c>
    </row>
    <row r="148" spans="1:12" ht="13.15" customHeight="1" x14ac:dyDescent="0.25">
      <c r="A148" s="36">
        <v>25011</v>
      </c>
      <c r="B148" s="36" t="s">
        <v>579</v>
      </c>
      <c r="C148" s="33" t="s">
        <v>826</v>
      </c>
      <c r="D148" s="38" t="s">
        <v>826</v>
      </c>
      <c r="E148" s="40">
        <v>242.95</v>
      </c>
      <c r="F148" s="39" t="s">
        <v>826</v>
      </c>
      <c r="G148" s="33" t="s">
        <v>826</v>
      </c>
      <c r="H148" s="33" t="s">
        <v>826</v>
      </c>
      <c r="I148" s="33" t="s">
        <v>826</v>
      </c>
      <c r="J148" s="33" t="s">
        <v>826</v>
      </c>
      <c r="K148" s="33" t="s">
        <v>826</v>
      </c>
      <c r="L148" s="33" t="s">
        <v>826</v>
      </c>
    </row>
    <row r="149" spans="1:12" ht="13.15" customHeight="1" x14ac:dyDescent="0.25">
      <c r="A149" s="36">
        <v>25012</v>
      </c>
      <c r="B149" s="36" t="s">
        <v>299</v>
      </c>
      <c r="C149" s="33" t="s">
        <v>826</v>
      </c>
      <c r="D149" s="38" t="s">
        <v>826</v>
      </c>
      <c r="E149" s="33" t="s">
        <v>826</v>
      </c>
      <c r="F149" s="39" t="s">
        <v>826</v>
      </c>
      <c r="G149" s="33" t="s">
        <v>826</v>
      </c>
      <c r="H149" s="33" t="s">
        <v>826</v>
      </c>
      <c r="I149" s="33" t="s">
        <v>826</v>
      </c>
      <c r="J149" s="33" t="s">
        <v>826</v>
      </c>
      <c r="K149" s="40">
        <v>1748.11</v>
      </c>
      <c r="L149" s="33" t="s">
        <v>826</v>
      </c>
    </row>
    <row r="150" spans="1:12" ht="13.15" customHeight="1" x14ac:dyDescent="0.25">
      <c r="A150" s="36">
        <v>25013</v>
      </c>
      <c r="B150" s="36" t="s">
        <v>580</v>
      </c>
      <c r="C150" s="33" t="s">
        <v>826</v>
      </c>
      <c r="D150" s="42">
        <v>173.45</v>
      </c>
      <c r="E150" s="33" t="s">
        <v>826</v>
      </c>
      <c r="F150" s="39" t="s">
        <v>826</v>
      </c>
      <c r="G150" s="33" t="s">
        <v>826</v>
      </c>
      <c r="H150" s="33" t="s">
        <v>826</v>
      </c>
      <c r="I150" s="33" t="s">
        <v>826</v>
      </c>
      <c r="J150" s="33" t="s">
        <v>826</v>
      </c>
      <c r="K150" s="33" t="s">
        <v>826</v>
      </c>
      <c r="L150" s="33" t="s">
        <v>826</v>
      </c>
    </row>
    <row r="151" spans="1:12" ht="13.15" customHeight="1" x14ac:dyDescent="0.25">
      <c r="A151" s="36">
        <v>25014</v>
      </c>
      <c r="B151" s="36" t="s">
        <v>581</v>
      </c>
      <c r="C151" s="33" t="s">
        <v>826</v>
      </c>
      <c r="D151" s="42">
        <v>533.66999999999996</v>
      </c>
      <c r="E151" s="33" t="s">
        <v>826</v>
      </c>
      <c r="F151" s="39" t="s">
        <v>826</v>
      </c>
      <c r="G151" s="33" t="s">
        <v>826</v>
      </c>
      <c r="H151" s="33" t="s">
        <v>826</v>
      </c>
      <c r="I151" s="33" t="s">
        <v>826</v>
      </c>
      <c r="J151" s="33" t="s">
        <v>826</v>
      </c>
      <c r="K151" s="33" t="s">
        <v>826</v>
      </c>
      <c r="L151" s="33" t="s">
        <v>826</v>
      </c>
    </row>
    <row r="152" spans="1:12" ht="13.15" customHeight="1" x14ac:dyDescent="0.25">
      <c r="A152" s="36">
        <v>25015</v>
      </c>
      <c r="B152" s="36" t="s">
        <v>582</v>
      </c>
      <c r="C152" s="33" t="s">
        <v>826</v>
      </c>
      <c r="D152" s="42">
        <v>1133.22</v>
      </c>
      <c r="E152" s="33" t="s">
        <v>826</v>
      </c>
      <c r="F152" s="39" t="s">
        <v>826</v>
      </c>
      <c r="G152" s="33" t="s">
        <v>826</v>
      </c>
      <c r="H152" s="33" t="s">
        <v>826</v>
      </c>
      <c r="I152" s="33" t="s">
        <v>826</v>
      </c>
      <c r="J152" s="33" t="s">
        <v>826</v>
      </c>
      <c r="K152" s="33" t="s">
        <v>826</v>
      </c>
      <c r="L152" s="33" t="s">
        <v>826</v>
      </c>
    </row>
    <row r="153" spans="1:12" ht="13.15" customHeight="1" x14ac:dyDescent="0.25">
      <c r="A153" s="36">
        <v>25016</v>
      </c>
      <c r="B153" s="36" t="s">
        <v>583</v>
      </c>
      <c r="C153" s="33" t="s">
        <v>826</v>
      </c>
      <c r="D153" s="38" t="s">
        <v>826</v>
      </c>
      <c r="E153" s="33" t="s">
        <v>826</v>
      </c>
      <c r="F153" s="39" t="s">
        <v>826</v>
      </c>
      <c r="G153" s="33" t="s">
        <v>826</v>
      </c>
      <c r="H153" s="33" t="s">
        <v>826</v>
      </c>
      <c r="I153" s="33" t="s">
        <v>826</v>
      </c>
      <c r="J153" s="33" t="s">
        <v>826</v>
      </c>
      <c r="K153" s="33" t="s">
        <v>826</v>
      </c>
      <c r="L153" s="45">
        <v>12769</v>
      </c>
    </row>
    <row r="154" spans="1:12" ht="13.15" customHeight="1" x14ac:dyDescent="0.25">
      <c r="A154" s="36">
        <v>25017</v>
      </c>
      <c r="B154" s="36" t="s">
        <v>584</v>
      </c>
      <c r="C154" s="33" t="s">
        <v>826</v>
      </c>
      <c r="D154" s="38" t="s">
        <v>826</v>
      </c>
      <c r="E154" s="33" t="s">
        <v>826</v>
      </c>
      <c r="F154" s="39" t="s">
        <v>826</v>
      </c>
      <c r="G154" s="33" t="s">
        <v>826</v>
      </c>
      <c r="H154" s="33" t="s">
        <v>826</v>
      </c>
      <c r="I154" s="33" t="s">
        <v>826</v>
      </c>
      <c r="J154" s="33" t="s">
        <v>826</v>
      </c>
      <c r="K154" s="33" t="s">
        <v>826</v>
      </c>
      <c r="L154" s="45">
        <v>1118.7</v>
      </c>
    </row>
    <row r="155" spans="1:12" ht="13.15" customHeight="1" x14ac:dyDescent="0.25">
      <c r="A155" s="36">
        <v>25018</v>
      </c>
      <c r="B155" s="36" t="s">
        <v>585</v>
      </c>
      <c r="C155" s="33">
        <v>175.15</v>
      </c>
      <c r="D155" s="38" t="s">
        <v>826</v>
      </c>
      <c r="E155" s="33" t="s">
        <v>826</v>
      </c>
      <c r="F155" s="39" t="s">
        <v>826</v>
      </c>
      <c r="G155" s="33" t="s">
        <v>826</v>
      </c>
      <c r="H155" s="33" t="s">
        <v>826</v>
      </c>
      <c r="I155" s="33" t="s">
        <v>826</v>
      </c>
      <c r="J155" s="33" t="s">
        <v>826</v>
      </c>
      <c r="K155" s="33" t="s">
        <v>826</v>
      </c>
      <c r="L155" s="33" t="s">
        <v>826</v>
      </c>
    </row>
    <row r="156" spans="1:12" ht="13.15" customHeight="1" x14ac:dyDescent="0.25">
      <c r="A156" s="36">
        <v>25019</v>
      </c>
      <c r="B156" s="36" t="s">
        <v>586</v>
      </c>
      <c r="C156" s="33" t="s">
        <v>826</v>
      </c>
      <c r="D156" s="38" t="s">
        <v>826</v>
      </c>
      <c r="E156" s="33" t="s">
        <v>826</v>
      </c>
      <c r="F156" s="39" t="s">
        <v>826</v>
      </c>
      <c r="G156" s="33" t="s">
        <v>826</v>
      </c>
      <c r="H156" s="33" t="s">
        <v>826</v>
      </c>
      <c r="I156" s="33" t="s">
        <v>826</v>
      </c>
      <c r="J156" s="33" t="s">
        <v>826</v>
      </c>
      <c r="K156" s="40">
        <v>22.83</v>
      </c>
      <c r="L156" s="33" t="s">
        <v>826</v>
      </c>
    </row>
    <row r="157" spans="1:12" ht="13.15" customHeight="1" x14ac:dyDescent="0.25">
      <c r="A157" s="36">
        <v>26001</v>
      </c>
      <c r="B157" s="36" t="s">
        <v>587</v>
      </c>
      <c r="C157" s="33" t="s">
        <v>826</v>
      </c>
      <c r="D157" s="38" t="s">
        <v>826</v>
      </c>
      <c r="E157" s="40">
        <v>327.7</v>
      </c>
      <c r="F157" s="39" t="s">
        <v>826</v>
      </c>
      <c r="G157" s="40">
        <v>232.71</v>
      </c>
      <c r="H157" s="33" t="s">
        <v>826</v>
      </c>
      <c r="I157" s="33" t="s">
        <v>826</v>
      </c>
      <c r="J157" s="33">
        <v>12389.7</v>
      </c>
      <c r="K157" s="40">
        <v>333.35</v>
      </c>
      <c r="L157" s="33" t="s">
        <v>826</v>
      </c>
    </row>
    <row r="158" spans="1:12" ht="13.15" customHeight="1" x14ac:dyDescent="0.25">
      <c r="A158" s="36">
        <v>26002</v>
      </c>
      <c r="B158" s="36" t="s">
        <v>588</v>
      </c>
      <c r="C158" s="33" t="s">
        <v>826</v>
      </c>
      <c r="D158" s="38" t="s">
        <v>826</v>
      </c>
      <c r="E158" s="33" t="s">
        <v>826</v>
      </c>
      <c r="F158" s="39" t="s">
        <v>826</v>
      </c>
      <c r="G158" s="40">
        <v>24.63</v>
      </c>
      <c r="H158" s="33" t="s">
        <v>826</v>
      </c>
      <c r="I158" s="33" t="s">
        <v>826</v>
      </c>
      <c r="J158" s="33" t="s">
        <v>826</v>
      </c>
      <c r="K158" s="33" t="s">
        <v>826</v>
      </c>
      <c r="L158" s="33" t="s">
        <v>826</v>
      </c>
    </row>
    <row r="159" spans="1:12" ht="13.15" customHeight="1" x14ac:dyDescent="0.25">
      <c r="A159" s="36">
        <v>26003</v>
      </c>
      <c r="B159" s="36" t="s">
        <v>589</v>
      </c>
      <c r="C159" s="33" t="s">
        <v>826</v>
      </c>
      <c r="D159" s="38" t="s">
        <v>826</v>
      </c>
      <c r="E159" s="33" t="s">
        <v>826</v>
      </c>
      <c r="F159" s="39" t="s">
        <v>826</v>
      </c>
      <c r="G159" s="33" t="s">
        <v>826</v>
      </c>
      <c r="H159" s="40">
        <v>37120.5</v>
      </c>
      <c r="I159" s="40">
        <v>2890.54</v>
      </c>
      <c r="J159" s="33" t="s">
        <v>826</v>
      </c>
      <c r="K159" s="33" t="s">
        <v>826</v>
      </c>
      <c r="L159" s="33" t="s">
        <v>826</v>
      </c>
    </row>
    <row r="160" spans="1:12" ht="13.15" customHeight="1" x14ac:dyDescent="0.25">
      <c r="A160" s="36">
        <v>26004</v>
      </c>
      <c r="B160" s="36" t="s">
        <v>590</v>
      </c>
      <c r="C160" s="33" t="s">
        <v>826</v>
      </c>
      <c r="D160" s="38" t="s">
        <v>826</v>
      </c>
      <c r="E160" s="33" t="s">
        <v>826</v>
      </c>
      <c r="F160" s="39" t="s">
        <v>826</v>
      </c>
      <c r="G160" s="33" t="s">
        <v>826</v>
      </c>
      <c r="H160" s="40">
        <v>16950</v>
      </c>
      <c r="I160" s="33" t="s">
        <v>826</v>
      </c>
      <c r="J160" s="33">
        <v>6204.83</v>
      </c>
      <c r="K160" s="33" t="s">
        <v>826</v>
      </c>
      <c r="L160" s="33" t="s">
        <v>826</v>
      </c>
    </row>
    <row r="161" spans="1:12" ht="13.15" customHeight="1" x14ac:dyDescent="0.25">
      <c r="A161" s="36">
        <v>26005</v>
      </c>
      <c r="B161" s="36" t="s">
        <v>591</v>
      </c>
      <c r="C161" s="33" t="s">
        <v>826</v>
      </c>
      <c r="D161" s="38" t="s">
        <v>826</v>
      </c>
      <c r="E161" s="33" t="s">
        <v>826</v>
      </c>
      <c r="F161" s="41">
        <v>31.64</v>
      </c>
      <c r="G161" s="33" t="s">
        <v>826</v>
      </c>
      <c r="H161" s="33" t="s">
        <v>826</v>
      </c>
      <c r="I161" s="33" t="s">
        <v>826</v>
      </c>
      <c r="J161" s="33" t="s">
        <v>826</v>
      </c>
      <c r="K161" s="40">
        <v>45.2</v>
      </c>
      <c r="L161" s="33" t="s">
        <v>826</v>
      </c>
    </row>
    <row r="162" spans="1:12" ht="13.15" customHeight="1" x14ac:dyDescent="0.25">
      <c r="A162" s="36">
        <v>26006</v>
      </c>
      <c r="B162" s="36" t="s">
        <v>592</v>
      </c>
      <c r="C162" s="33" t="s">
        <v>826</v>
      </c>
      <c r="D162" s="38" t="s">
        <v>826</v>
      </c>
      <c r="E162" s="33" t="s">
        <v>826</v>
      </c>
      <c r="F162" s="41">
        <v>45.2</v>
      </c>
      <c r="G162" s="33" t="s">
        <v>826</v>
      </c>
      <c r="H162" s="33" t="s">
        <v>826</v>
      </c>
      <c r="I162" s="33" t="s">
        <v>826</v>
      </c>
      <c r="J162" s="33" t="s">
        <v>826</v>
      </c>
      <c r="K162" s="33" t="s">
        <v>826</v>
      </c>
      <c r="L162" s="33" t="s">
        <v>826</v>
      </c>
    </row>
    <row r="163" spans="1:12" ht="13.15" customHeight="1" x14ac:dyDescent="0.25">
      <c r="A163" s="36">
        <v>26007</v>
      </c>
      <c r="B163" s="36" t="s">
        <v>593</v>
      </c>
      <c r="C163" s="33" t="s">
        <v>826</v>
      </c>
      <c r="D163" s="38" t="s">
        <v>826</v>
      </c>
      <c r="E163" s="33" t="s">
        <v>826</v>
      </c>
      <c r="F163" s="41">
        <v>29.15</v>
      </c>
      <c r="G163" s="33" t="s">
        <v>826</v>
      </c>
      <c r="H163" s="33" t="s">
        <v>826</v>
      </c>
      <c r="I163" s="33" t="s">
        <v>826</v>
      </c>
      <c r="J163" s="33" t="s">
        <v>826</v>
      </c>
      <c r="K163" s="33" t="s">
        <v>826</v>
      </c>
      <c r="L163" s="33" t="s">
        <v>826</v>
      </c>
    </row>
    <row r="164" spans="1:12" ht="13.15" customHeight="1" x14ac:dyDescent="0.25">
      <c r="A164" s="36">
        <v>27001</v>
      </c>
      <c r="B164" s="36" t="s">
        <v>594</v>
      </c>
      <c r="C164" s="33" t="s">
        <v>826</v>
      </c>
      <c r="D164" s="38" t="s">
        <v>826</v>
      </c>
      <c r="E164" s="40">
        <v>5.6</v>
      </c>
      <c r="F164" s="39" t="s">
        <v>826</v>
      </c>
      <c r="G164" s="40">
        <v>3.5</v>
      </c>
      <c r="H164" s="40">
        <v>452.24</v>
      </c>
      <c r="I164" s="33" t="s">
        <v>826</v>
      </c>
      <c r="J164" s="33">
        <v>181.21</v>
      </c>
      <c r="K164" s="33" t="s">
        <v>826</v>
      </c>
      <c r="L164" s="33" t="s">
        <v>826</v>
      </c>
    </row>
    <row r="165" spans="1:12" ht="13.15" customHeight="1" x14ac:dyDescent="0.25">
      <c r="A165" s="36">
        <v>27002</v>
      </c>
      <c r="B165" s="36" t="s">
        <v>595</v>
      </c>
      <c r="C165" s="33" t="s">
        <v>826</v>
      </c>
      <c r="D165" s="38" t="s">
        <v>826</v>
      </c>
      <c r="E165" s="33" t="s">
        <v>826</v>
      </c>
      <c r="F165" s="39" t="s">
        <v>826</v>
      </c>
      <c r="G165" s="33" t="s">
        <v>826</v>
      </c>
      <c r="H165" s="40">
        <v>7157.56</v>
      </c>
      <c r="I165" s="33" t="s">
        <v>826</v>
      </c>
      <c r="J165" s="33" t="s">
        <v>826</v>
      </c>
      <c r="K165" s="33" t="s">
        <v>826</v>
      </c>
      <c r="L165" s="33" t="s">
        <v>826</v>
      </c>
    </row>
    <row r="166" spans="1:12" ht="13.15" customHeight="1" x14ac:dyDescent="0.25">
      <c r="A166" s="36">
        <v>27003</v>
      </c>
      <c r="B166" s="36" t="s">
        <v>596</v>
      </c>
      <c r="C166" s="33" t="s">
        <v>826</v>
      </c>
      <c r="D166" s="38" t="s">
        <v>826</v>
      </c>
      <c r="E166" s="33" t="s">
        <v>826</v>
      </c>
      <c r="F166" s="39" t="s">
        <v>826</v>
      </c>
      <c r="G166" s="33" t="s">
        <v>826</v>
      </c>
      <c r="H166" s="33" t="s">
        <v>826</v>
      </c>
      <c r="I166" s="33" t="s">
        <v>826</v>
      </c>
      <c r="J166" s="33" t="s">
        <v>826</v>
      </c>
      <c r="K166" s="40">
        <v>24.74</v>
      </c>
      <c r="L166" s="33" t="s">
        <v>826</v>
      </c>
    </row>
    <row r="167" spans="1:12" ht="13.15" customHeight="1" x14ac:dyDescent="0.25">
      <c r="A167" s="36">
        <v>28001</v>
      </c>
      <c r="B167" s="36" t="s">
        <v>597</v>
      </c>
      <c r="C167" s="33" t="s">
        <v>826</v>
      </c>
      <c r="D167" s="38" t="s">
        <v>826</v>
      </c>
      <c r="E167" s="33" t="s">
        <v>826</v>
      </c>
      <c r="F167" s="39" t="s">
        <v>826</v>
      </c>
      <c r="G167" s="33" t="s">
        <v>826</v>
      </c>
      <c r="H167" s="33" t="s">
        <v>826</v>
      </c>
      <c r="I167" s="33" t="s">
        <v>826</v>
      </c>
      <c r="J167" s="33" t="s">
        <v>826</v>
      </c>
      <c r="K167" s="40">
        <v>31.65</v>
      </c>
      <c r="L167" s="33" t="s">
        <v>826</v>
      </c>
    </row>
    <row r="168" spans="1:12" ht="13.15" customHeight="1" x14ac:dyDescent="0.25">
      <c r="A168" s="36">
        <v>28002</v>
      </c>
      <c r="B168" s="36" t="s">
        <v>598</v>
      </c>
      <c r="C168" s="33">
        <v>37.31</v>
      </c>
      <c r="D168" s="38" t="s">
        <v>826</v>
      </c>
      <c r="E168" s="33" t="s">
        <v>826</v>
      </c>
      <c r="F168" s="39" t="s">
        <v>826</v>
      </c>
      <c r="G168" s="33" t="s">
        <v>826</v>
      </c>
      <c r="H168" s="33" t="s">
        <v>826</v>
      </c>
      <c r="I168" s="33" t="s">
        <v>826</v>
      </c>
      <c r="J168" s="33" t="s">
        <v>826</v>
      </c>
      <c r="K168" s="33" t="s">
        <v>826</v>
      </c>
      <c r="L168" s="33" t="s">
        <v>826</v>
      </c>
    </row>
    <row r="169" spans="1:12" ht="13.15" customHeight="1" x14ac:dyDescent="0.25">
      <c r="A169" s="36">
        <v>29001</v>
      </c>
      <c r="B169" s="36" t="s">
        <v>599</v>
      </c>
      <c r="C169" s="33" t="s">
        <v>826</v>
      </c>
      <c r="D169" s="38" t="s">
        <v>826</v>
      </c>
      <c r="E169" s="33" t="s">
        <v>826</v>
      </c>
      <c r="F169" s="39" t="s">
        <v>826</v>
      </c>
      <c r="G169" s="33" t="s">
        <v>826</v>
      </c>
      <c r="H169" s="40">
        <v>9777.19</v>
      </c>
      <c r="I169" s="33" t="s">
        <v>826</v>
      </c>
      <c r="J169" s="33" t="s">
        <v>826</v>
      </c>
      <c r="K169" s="33" t="s">
        <v>826</v>
      </c>
      <c r="L169" s="33" t="s">
        <v>826</v>
      </c>
    </row>
    <row r="170" spans="1:12" ht="13.15" customHeight="1" x14ac:dyDescent="0.25">
      <c r="A170" s="36">
        <v>30001</v>
      </c>
      <c r="B170" s="36" t="s">
        <v>600</v>
      </c>
      <c r="C170" s="33" t="s">
        <v>826</v>
      </c>
      <c r="D170" s="38" t="s">
        <v>826</v>
      </c>
      <c r="E170" s="33" t="s">
        <v>826</v>
      </c>
      <c r="F170" s="39" t="s">
        <v>826</v>
      </c>
      <c r="G170" s="33" t="s">
        <v>826</v>
      </c>
      <c r="H170" s="33" t="s">
        <v>826</v>
      </c>
      <c r="I170" s="33" t="s">
        <v>826</v>
      </c>
      <c r="J170" s="33" t="s">
        <v>826</v>
      </c>
      <c r="K170" s="33" t="s">
        <v>826</v>
      </c>
      <c r="L170" s="45">
        <v>5650</v>
      </c>
    </row>
    <row r="171" spans="1:12" ht="13.15" customHeight="1" x14ac:dyDescent="0.25">
      <c r="A171" s="36">
        <v>31001</v>
      </c>
      <c r="B171" s="36" t="s">
        <v>601</v>
      </c>
      <c r="C171" s="33" t="s">
        <v>826</v>
      </c>
      <c r="D171" s="38" t="s">
        <v>826</v>
      </c>
      <c r="E171" s="33" t="s">
        <v>826</v>
      </c>
      <c r="F171" s="39" t="s">
        <v>826</v>
      </c>
      <c r="G171" s="33" t="s">
        <v>826</v>
      </c>
      <c r="H171" s="33" t="s">
        <v>826</v>
      </c>
      <c r="I171" s="33" t="s">
        <v>826</v>
      </c>
      <c r="J171" s="33" t="s">
        <v>826</v>
      </c>
      <c r="K171" s="33" t="s">
        <v>826</v>
      </c>
      <c r="L171" s="45">
        <v>9041.18</v>
      </c>
    </row>
    <row r="172" spans="1:12" ht="13.15" customHeight="1" x14ac:dyDescent="0.25">
      <c r="A172" s="36">
        <v>31002</v>
      </c>
      <c r="B172" s="36" t="s">
        <v>602</v>
      </c>
      <c r="C172" s="33" t="s">
        <v>826</v>
      </c>
      <c r="D172" s="38" t="s">
        <v>826</v>
      </c>
      <c r="E172" s="33" t="s">
        <v>826</v>
      </c>
      <c r="F172" s="39" t="s">
        <v>826</v>
      </c>
      <c r="G172" s="40">
        <v>179.03</v>
      </c>
      <c r="H172" s="33" t="s">
        <v>826</v>
      </c>
      <c r="I172" s="33" t="s">
        <v>826</v>
      </c>
      <c r="J172" s="33">
        <v>8519.17</v>
      </c>
      <c r="K172" s="33" t="s">
        <v>826</v>
      </c>
      <c r="L172" s="33" t="s">
        <v>826</v>
      </c>
    </row>
    <row r="173" spans="1:12" ht="13.15" customHeight="1" x14ac:dyDescent="0.25">
      <c r="A173" s="36">
        <v>31003</v>
      </c>
      <c r="B173" s="36" t="s">
        <v>603</v>
      </c>
      <c r="C173" s="33" t="s">
        <v>826</v>
      </c>
      <c r="D173" s="38" t="s">
        <v>826</v>
      </c>
      <c r="E173" s="33" t="s">
        <v>826</v>
      </c>
      <c r="F173" s="39" t="s">
        <v>826</v>
      </c>
      <c r="G173" s="40">
        <v>142.41</v>
      </c>
      <c r="H173" s="33" t="s">
        <v>826</v>
      </c>
      <c r="I173" s="33" t="s">
        <v>826</v>
      </c>
      <c r="J173" s="33">
        <v>6979.15</v>
      </c>
      <c r="K173" s="33" t="s">
        <v>826</v>
      </c>
      <c r="L173" s="33" t="s">
        <v>826</v>
      </c>
    </row>
    <row r="174" spans="1:12" ht="13.15" customHeight="1" x14ac:dyDescent="0.25">
      <c r="A174" s="36">
        <v>32001</v>
      </c>
      <c r="B174" s="36" t="s">
        <v>604</v>
      </c>
      <c r="C174" s="33" t="s">
        <v>826</v>
      </c>
      <c r="D174" s="38" t="s">
        <v>826</v>
      </c>
      <c r="E174" s="33" t="s">
        <v>826</v>
      </c>
      <c r="F174" s="39" t="s">
        <v>826</v>
      </c>
      <c r="G174" s="33" t="s">
        <v>826</v>
      </c>
      <c r="H174" s="33" t="s">
        <v>826</v>
      </c>
      <c r="I174" s="40">
        <v>12938.78</v>
      </c>
      <c r="J174" s="33" t="s">
        <v>826</v>
      </c>
      <c r="K174" s="33" t="s">
        <v>826</v>
      </c>
      <c r="L174" s="33" t="s">
        <v>826</v>
      </c>
    </row>
    <row r="175" spans="1:12" ht="13.15" customHeight="1" x14ac:dyDescent="0.25">
      <c r="A175" s="36">
        <v>32002</v>
      </c>
      <c r="B175" s="36" t="s">
        <v>605</v>
      </c>
      <c r="C175" s="33" t="s">
        <v>826</v>
      </c>
      <c r="D175" s="38" t="s">
        <v>826</v>
      </c>
      <c r="E175" s="33" t="s">
        <v>826</v>
      </c>
      <c r="F175" s="39" t="s">
        <v>826</v>
      </c>
      <c r="G175" s="33" t="s">
        <v>826</v>
      </c>
      <c r="H175" s="33" t="s">
        <v>826</v>
      </c>
      <c r="I175" s="40">
        <v>17154.87</v>
      </c>
      <c r="J175" s="33" t="s">
        <v>826</v>
      </c>
      <c r="K175" s="33" t="s">
        <v>826</v>
      </c>
      <c r="L175" s="33" t="s">
        <v>826</v>
      </c>
    </row>
    <row r="176" spans="1:12" ht="13.15" customHeight="1" x14ac:dyDescent="0.25">
      <c r="A176" s="36">
        <v>32003</v>
      </c>
      <c r="B176" s="36" t="s">
        <v>606</v>
      </c>
      <c r="C176" s="33" t="s">
        <v>826</v>
      </c>
      <c r="D176" s="38" t="s">
        <v>826</v>
      </c>
      <c r="E176" s="33" t="s">
        <v>826</v>
      </c>
      <c r="F176" s="39" t="s">
        <v>826</v>
      </c>
      <c r="G176" s="33" t="s">
        <v>826</v>
      </c>
      <c r="H176" s="33" t="s">
        <v>826</v>
      </c>
      <c r="I176" s="40">
        <v>697.36</v>
      </c>
      <c r="J176" s="33" t="s">
        <v>826</v>
      </c>
      <c r="K176" s="33" t="s">
        <v>826</v>
      </c>
      <c r="L176" s="33" t="s">
        <v>826</v>
      </c>
    </row>
    <row r="177" spans="1:12" ht="13.15" customHeight="1" x14ac:dyDescent="0.25">
      <c r="A177" s="36">
        <v>32004</v>
      </c>
      <c r="B177" s="36" t="s">
        <v>607</v>
      </c>
      <c r="C177" s="33" t="s">
        <v>826</v>
      </c>
      <c r="D177" s="38" t="s">
        <v>826</v>
      </c>
      <c r="E177" s="33" t="s">
        <v>826</v>
      </c>
      <c r="F177" s="39" t="s">
        <v>826</v>
      </c>
      <c r="G177" s="33" t="s">
        <v>826</v>
      </c>
      <c r="H177" s="33" t="s">
        <v>826</v>
      </c>
      <c r="I177" s="40">
        <v>10062.98</v>
      </c>
      <c r="J177" s="33" t="s">
        <v>826</v>
      </c>
      <c r="K177" s="33" t="s">
        <v>826</v>
      </c>
      <c r="L177" s="33" t="s">
        <v>826</v>
      </c>
    </row>
    <row r="178" spans="1:12" ht="13.15" customHeight="1" x14ac:dyDescent="0.25">
      <c r="A178" s="36">
        <v>32005</v>
      </c>
      <c r="B178" s="36" t="s">
        <v>608</v>
      </c>
      <c r="C178" s="33" t="s">
        <v>826</v>
      </c>
      <c r="D178" s="38" t="s">
        <v>826</v>
      </c>
      <c r="E178" s="33" t="s">
        <v>826</v>
      </c>
      <c r="F178" s="39" t="s">
        <v>826</v>
      </c>
      <c r="G178" s="33" t="s">
        <v>826</v>
      </c>
      <c r="H178" s="33" t="s">
        <v>826</v>
      </c>
      <c r="I178" s="40">
        <v>27120</v>
      </c>
      <c r="J178" s="33" t="s">
        <v>826</v>
      </c>
      <c r="K178" s="33" t="s">
        <v>826</v>
      </c>
      <c r="L178" s="33" t="s">
        <v>826</v>
      </c>
    </row>
    <row r="179" spans="1:12" ht="13.15" customHeight="1" x14ac:dyDescent="0.25">
      <c r="A179" s="36">
        <v>32006</v>
      </c>
      <c r="B179" s="36" t="s">
        <v>609</v>
      </c>
      <c r="C179" s="33">
        <v>540.66999999999996</v>
      </c>
      <c r="D179" s="38" t="s">
        <v>826</v>
      </c>
      <c r="E179" s="33" t="s">
        <v>826</v>
      </c>
      <c r="F179" s="39" t="s">
        <v>826</v>
      </c>
      <c r="G179" s="33" t="s">
        <v>826</v>
      </c>
      <c r="H179" s="33" t="s">
        <v>826</v>
      </c>
      <c r="I179" s="33" t="s">
        <v>826</v>
      </c>
      <c r="J179" s="33" t="s">
        <v>826</v>
      </c>
      <c r="K179" s="40">
        <v>553.70000000000005</v>
      </c>
      <c r="L179" s="33" t="s">
        <v>826</v>
      </c>
    </row>
    <row r="180" spans="1:12" ht="13.15" customHeight="1" x14ac:dyDescent="0.25">
      <c r="A180" s="36">
        <v>32007</v>
      </c>
      <c r="B180" s="36" t="s">
        <v>610</v>
      </c>
      <c r="C180" s="33" t="s">
        <v>826</v>
      </c>
      <c r="D180" s="42">
        <v>379.17</v>
      </c>
      <c r="E180" s="33" t="s">
        <v>826</v>
      </c>
      <c r="F180" s="39" t="s">
        <v>826</v>
      </c>
      <c r="G180" s="33" t="s">
        <v>826</v>
      </c>
      <c r="H180" s="33" t="s">
        <v>826</v>
      </c>
      <c r="I180" s="33" t="s">
        <v>826</v>
      </c>
      <c r="J180" s="33" t="s">
        <v>826</v>
      </c>
      <c r="K180" s="33" t="s">
        <v>826</v>
      </c>
      <c r="L180" s="33" t="s">
        <v>826</v>
      </c>
    </row>
    <row r="181" spans="1:12" ht="13.15" customHeight="1" x14ac:dyDescent="0.25">
      <c r="A181" s="36">
        <v>32008</v>
      </c>
      <c r="B181" s="36" t="s">
        <v>611</v>
      </c>
      <c r="C181" s="33" t="s">
        <v>826</v>
      </c>
      <c r="D181" s="38" t="s">
        <v>826</v>
      </c>
      <c r="E181" s="33" t="s">
        <v>826</v>
      </c>
      <c r="F181" s="39" t="s">
        <v>826</v>
      </c>
      <c r="G181" s="33" t="s">
        <v>826</v>
      </c>
      <c r="H181" s="33" t="s">
        <v>826</v>
      </c>
      <c r="I181" s="33" t="s">
        <v>826</v>
      </c>
      <c r="J181" s="33">
        <v>5085</v>
      </c>
      <c r="K181" s="33" t="s">
        <v>826</v>
      </c>
      <c r="L181" s="33" t="s">
        <v>826</v>
      </c>
    </row>
    <row r="182" spans="1:12" ht="13.15" customHeight="1" x14ac:dyDescent="0.25">
      <c r="A182" s="36">
        <v>33001</v>
      </c>
      <c r="B182" s="36" t="s">
        <v>612</v>
      </c>
      <c r="C182" s="33" t="s">
        <v>826</v>
      </c>
      <c r="D182" s="38" t="s">
        <v>826</v>
      </c>
      <c r="E182" s="33" t="s">
        <v>826</v>
      </c>
      <c r="F182" s="41">
        <v>103.14</v>
      </c>
      <c r="G182" s="33" t="s">
        <v>826</v>
      </c>
      <c r="H182" s="33" t="s">
        <v>826</v>
      </c>
      <c r="I182" s="33" t="s">
        <v>826</v>
      </c>
      <c r="J182" s="33" t="s">
        <v>826</v>
      </c>
      <c r="K182" s="33" t="s">
        <v>826</v>
      </c>
      <c r="L182" s="33" t="s">
        <v>826</v>
      </c>
    </row>
    <row r="183" spans="1:12" ht="13.15" customHeight="1" x14ac:dyDescent="0.25">
      <c r="A183" s="36">
        <v>33002</v>
      </c>
      <c r="B183" s="36" t="s">
        <v>613</v>
      </c>
      <c r="C183" s="33" t="s">
        <v>826</v>
      </c>
      <c r="D183" s="38" t="s">
        <v>826</v>
      </c>
      <c r="E183" s="33" t="s">
        <v>826</v>
      </c>
      <c r="F183" s="41">
        <v>768.3</v>
      </c>
      <c r="G183" s="33" t="s">
        <v>826</v>
      </c>
      <c r="H183" s="33" t="s">
        <v>826</v>
      </c>
      <c r="I183" s="33" t="s">
        <v>826</v>
      </c>
      <c r="J183" s="33" t="s">
        <v>826</v>
      </c>
      <c r="K183" s="33" t="s">
        <v>826</v>
      </c>
      <c r="L183" s="33" t="s">
        <v>826</v>
      </c>
    </row>
    <row r="184" spans="1:12" ht="13.15" customHeight="1" x14ac:dyDescent="0.25">
      <c r="A184" s="36">
        <v>34002</v>
      </c>
      <c r="B184" s="36" t="s">
        <v>614</v>
      </c>
      <c r="C184" s="33" t="s">
        <v>826</v>
      </c>
      <c r="D184" s="38" t="s">
        <v>826</v>
      </c>
      <c r="E184" s="33" t="s">
        <v>826</v>
      </c>
      <c r="F184" s="39" t="s">
        <v>826</v>
      </c>
      <c r="G184" s="33" t="s">
        <v>826</v>
      </c>
      <c r="H184" s="33" t="s">
        <v>826</v>
      </c>
      <c r="I184" s="33" t="s">
        <v>826</v>
      </c>
      <c r="J184" s="33" t="s">
        <v>826</v>
      </c>
      <c r="K184" s="40">
        <v>4294</v>
      </c>
      <c r="L184" s="33" t="s">
        <v>826</v>
      </c>
    </row>
    <row r="185" spans="1:12" ht="13.15" customHeight="1" x14ac:dyDescent="0.25">
      <c r="A185" s="36">
        <v>35001</v>
      </c>
      <c r="B185" s="36" t="s">
        <v>615</v>
      </c>
      <c r="C185" s="33" t="s">
        <v>826</v>
      </c>
      <c r="D185" s="38" t="s">
        <v>826</v>
      </c>
      <c r="E185" s="33" t="s">
        <v>826</v>
      </c>
      <c r="F185" s="41">
        <v>220.35</v>
      </c>
      <c r="G185" s="33" t="s">
        <v>826</v>
      </c>
      <c r="H185" s="33" t="s">
        <v>826</v>
      </c>
      <c r="I185" s="33" t="s">
        <v>826</v>
      </c>
      <c r="J185" s="33" t="s">
        <v>826</v>
      </c>
      <c r="K185" s="33" t="s">
        <v>826</v>
      </c>
      <c r="L185" s="33" t="s">
        <v>826</v>
      </c>
    </row>
    <row r="186" spans="1:12" ht="13.15" customHeight="1" x14ac:dyDescent="0.25">
      <c r="A186" s="36">
        <v>36001</v>
      </c>
      <c r="B186" s="36" t="s">
        <v>616</v>
      </c>
      <c r="C186" s="33" t="s">
        <v>826</v>
      </c>
      <c r="D186" s="38" t="s">
        <v>826</v>
      </c>
      <c r="E186" s="33" t="s">
        <v>826</v>
      </c>
      <c r="F186" s="39" t="s">
        <v>826</v>
      </c>
      <c r="G186" s="33" t="s">
        <v>826</v>
      </c>
      <c r="H186" s="33" t="s">
        <v>826</v>
      </c>
      <c r="I186" s="40">
        <v>4.6900000000000004</v>
      </c>
      <c r="J186" s="33" t="s">
        <v>826</v>
      </c>
      <c r="K186" s="33" t="s">
        <v>826</v>
      </c>
      <c r="L186" s="33" t="s">
        <v>826</v>
      </c>
    </row>
    <row r="187" spans="1:12" ht="13.15" customHeight="1" x14ac:dyDescent="0.25">
      <c r="A187" s="36">
        <v>36002</v>
      </c>
      <c r="B187" s="36" t="s">
        <v>617</v>
      </c>
      <c r="C187" s="33" t="s">
        <v>826</v>
      </c>
      <c r="D187" s="38" t="s">
        <v>826</v>
      </c>
      <c r="E187" s="33" t="s">
        <v>826</v>
      </c>
      <c r="F187" s="39" t="s">
        <v>826</v>
      </c>
      <c r="G187" s="33" t="s">
        <v>826</v>
      </c>
      <c r="H187" s="33" t="s">
        <v>826</v>
      </c>
      <c r="I187" s="40">
        <v>174.02</v>
      </c>
      <c r="J187" s="33" t="s">
        <v>826</v>
      </c>
      <c r="K187" s="33" t="s">
        <v>826</v>
      </c>
      <c r="L187" s="33" t="s">
        <v>826</v>
      </c>
    </row>
    <row r="188" spans="1:12" ht="13.15" customHeight="1" x14ac:dyDescent="0.25">
      <c r="A188" s="36">
        <v>37001</v>
      </c>
      <c r="B188" s="36" t="s">
        <v>618</v>
      </c>
      <c r="C188" s="33" t="s">
        <v>826</v>
      </c>
      <c r="D188" s="38" t="s">
        <v>826</v>
      </c>
      <c r="E188" s="33" t="s">
        <v>826</v>
      </c>
      <c r="F188" s="39" t="s">
        <v>826</v>
      </c>
      <c r="G188" s="33" t="s">
        <v>826</v>
      </c>
      <c r="H188" s="33" t="s">
        <v>826</v>
      </c>
      <c r="I188" s="40">
        <v>30.51</v>
      </c>
      <c r="J188" s="33" t="s">
        <v>826</v>
      </c>
      <c r="K188" s="40">
        <v>4.8499999999999996</v>
      </c>
      <c r="L188" s="33" t="s">
        <v>826</v>
      </c>
    </row>
    <row r="189" spans="1:12" ht="13.15" customHeight="1" x14ac:dyDescent="0.25">
      <c r="A189" s="36">
        <v>38001</v>
      </c>
      <c r="B189" s="36" t="s">
        <v>619</v>
      </c>
      <c r="C189" s="33" t="s">
        <v>826</v>
      </c>
      <c r="D189" s="38" t="s">
        <v>826</v>
      </c>
      <c r="E189" s="40">
        <v>5.76</v>
      </c>
      <c r="F189" s="39" t="s">
        <v>826</v>
      </c>
      <c r="G189" s="33" t="s">
        <v>826</v>
      </c>
      <c r="H189" s="33" t="s">
        <v>826</v>
      </c>
      <c r="I189" s="33" t="s">
        <v>826</v>
      </c>
      <c r="J189" s="33" t="s">
        <v>826</v>
      </c>
      <c r="K189" s="33" t="s">
        <v>826</v>
      </c>
      <c r="L189" s="33" t="s">
        <v>826</v>
      </c>
    </row>
    <row r="190" spans="1:12" ht="13.15" customHeight="1" x14ac:dyDescent="0.25">
      <c r="A190" s="36">
        <v>38002</v>
      </c>
      <c r="B190" s="36" t="s">
        <v>620</v>
      </c>
      <c r="C190" s="33" t="s">
        <v>826</v>
      </c>
      <c r="D190" s="38" t="s">
        <v>826</v>
      </c>
      <c r="E190" s="40">
        <v>4.01</v>
      </c>
      <c r="F190" s="39" t="s">
        <v>826</v>
      </c>
      <c r="G190" s="33" t="s">
        <v>826</v>
      </c>
      <c r="H190" s="33" t="s">
        <v>826</v>
      </c>
      <c r="I190" s="33" t="s">
        <v>826</v>
      </c>
      <c r="J190" s="33" t="s">
        <v>826</v>
      </c>
      <c r="K190" s="33" t="s">
        <v>826</v>
      </c>
      <c r="L190" s="33" t="s">
        <v>826</v>
      </c>
    </row>
    <row r="191" spans="1:12" ht="13.15" customHeight="1" x14ac:dyDescent="0.25">
      <c r="A191" s="36">
        <v>38003</v>
      </c>
      <c r="B191" s="36" t="s">
        <v>621</v>
      </c>
      <c r="C191" s="33" t="s">
        <v>826</v>
      </c>
      <c r="D191" s="42">
        <v>5.88</v>
      </c>
      <c r="E191" s="40">
        <v>3.95</v>
      </c>
      <c r="F191" s="39" t="s">
        <v>826</v>
      </c>
      <c r="G191" s="33" t="s">
        <v>826</v>
      </c>
      <c r="H191" s="33" t="s">
        <v>826</v>
      </c>
      <c r="I191" s="33" t="s">
        <v>826</v>
      </c>
      <c r="J191" s="33" t="s">
        <v>826</v>
      </c>
      <c r="K191" s="33" t="s">
        <v>826</v>
      </c>
      <c r="L191" s="33" t="s">
        <v>826</v>
      </c>
    </row>
    <row r="192" spans="1:12" ht="13.15" customHeight="1" x14ac:dyDescent="0.25">
      <c r="A192" s="36">
        <v>38004</v>
      </c>
      <c r="B192" s="36" t="s">
        <v>622</v>
      </c>
      <c r="C192" s="33" t="s">
        <v>826</v>
      </c>
      <c r="D192" s="38" t="s">
        <v>826</v>
      </c>
      <c r="E192" s="40">
        <v>9.2100000000000009</v>
      </c>
      <c r="F192" s="39" t="s">
        <v>826</v>
      </c>
      <c r="G192" s="33" t="s">
        <v>826</v>
      </c>
      <c r="H192" s="33" t="s">
        <v>826</v>
      </c>
      <c r="I192" s="33" t="s">
        <v>826</v>
      </c>
      <c r="J192" s="33" t="s">
        <v>826</v>
      </c>
      <c r="K192" s="33" t="s">
        <v>826</v>
      </c>
      <c r="L192" s="45">
        <v>67.8</v>
      </c>
    </row>
    <row r="193" spans="1:12" ht="13.15" customHeight="1" x14ac:dyDescent="0.25">
      <c r="A193" s="36">
        <v>38005</v>
      </c>
      <c r="B193" s="36" t="s">
        <v>623</v>
      </c>
      <c r="C193" s="33" t="s">
        <v>826</v>
      </c>
      <c r="D193" s="38" t="s">
        <v>826</v>
      </c>
      <c r="E193" s="33" t="s">
        <v>826</v>
      </c>
      <c r="F193" s="39" t="s">
        <v>826</v>
      </c>
      <c r="G193" s="33" t="s">
        <v>826</v>
      </c>
      <c r="H193" s="33" t="s">
        <v>826</v>
      </c>
      <c r="I193" s="33" t="s">
        <v>826</v>
      </c>
      <c r="J193" s="33" t="s">
        <v>826</v>
      </c>
      <c r="K193" s="33" t="s">
        <v>826</v>
      </c>
      <c r="L193" s="45">
        <v>90.4</v>
      </c>
    </row>
    <row r="194" spans="1:12" ht="13.15" customHeight="1" x14ac:dyDescent="0.25">
      <c r="A194" s="36">
        <v>39001</v>
      </c>
      <c r="B194" s="36" t="s">
        <v>624</v>
      </c>
      <c r="C194" s="33" t="s">
        <v>826</v>
      </c>
      <c r="D194" s="42">
        <v>8.57</v>
      </c>
      <c r="E194" s="33" t="s">
        <v>826</v>
      </c>
      <c r="F194" s="39" t="s">
        <v>826</v>
      </c>
      <c r="G194" s="33" t="s">
        <v>826</v>
      </c>
      <c r="H194" s="33" t="s">
        <v>826</v>
      </c>
      <c r="I194" s="33" t="s">
        <v>826</v>
      </c>
      <c r="J194" s="33" t="s">
        <v>826</v>
      </c>
      <c r="K194" s="33" t="s">
        <v>826</v>
      </c>
      <c r="L194" s="33" t="s">
        <v>826</v>
      </c>
    </row>
    <row r="195" spans="1:12" ht="13.15" customHeight="1" x14ac:dyDescent="0.25">
      <c r="A195" s="36">
        <v>39002</v>
      </c>
      <c r="B195" s="36" t="s">
        <v>625</v>
      </c>
      <c r="C195" s="33" t="s">
        <v>826</v>
      </c>
      <c r="D195" s="38" t="s">
        <v>826</v>
      </c>
      <c r="E195" s="33" t="s">
        <v>826</v>
      </c>
      <c r="F195" s="39" t="s">
        <v>826</v>
      </c>
      <c r="G195" s="33" t="s">
        <v>826</v>
      </c>
      <c r="H195" s="40">
        <v>678</v>
      </c>
      <c r="I195" s="33" t="s">
        <v>826</v>
      </c>
      <c r="J195" s="33" t="s">
        <v>826</v>
      </c>
      <c r="K195" s="33" t="s">
        <v>826</v>
      </c>
      <c r="L195" s="33" t="s">
        <v>826</v>
      </c>
    </row>
    <row r="196" spans="1:12" ht="13.15" customHeight="1" x14ac:dyDescent="0.25">
      <c r="A196" s="36">
        <v>40001</v>
      </c>
      <c r="B196" s="36" t="s">
        <v>626</v>
      </c>
      <c r="C196" s="33" t="s">
        <v>826</v>
      </c>
      <c r="D196" s="38" t="s">
        <v>826</v>
      </c>
      <c r="E196" s="33" t="s">
        <v>826</v>
      </c>
      <c r="F196" s="39" t="s">
        <v>826</v>
      </c>
      <c r="G196" s="46">
        <v>12.43</v>
      </c>
      <c r="H196" s="40">
        <v>1582</v>
      </c>
      <c r="I196" s="33" t="s">
        <v>826</v>
      </c>
      <c r="J196" s="33">
        <v>565</v>
      </c>
      <c r="K196" s="33" t="s">
        <v>826</v>
      </c>
      <c r="L196" s="33" t="s">
        <v>826</v>
      </c>
    </row>
    <row r="197" spans="1:12" ht="13.15" customHeight="1" x14ac:dyDescent="0.25">
      <c r="A197" s="36">
        <v>40002</v>
      </c>
      <c r="B197" s="36" t="s">
        <v>627</v>
      </c>
      <c r="C197" s="33">
        <v>1.1000000000000001</v>
      </c>
      <c r="D197" s="38" t="s">
        <v>826</v>
      </c>
      <c r="E197" s="33" t="s">
        <v>826</v>
      </c>
      <c r="F197" s="41">
        <v>0.86</v>
      </c>
      <c r="G197" s="33" t="s">
        <v>826</v>
      </c>
      <c r="H197" s="33" t="s">
        <v>826</v>
      </c>
      <c r="I197" s="33" t="s">
        <v>826</v>
      </c>
      <c r="J197" s="33" t="s">
        <v>826</v>
      </c>
      <c r="K197" s="33" t="s">
        <v>826</v>
      </c>
      <c r="L197" s="45">
        <v>8.7799999999999994</v>
      </c>
    </row>
    <row r="198" spans="1:12" ht="13.15" customHeight="1" x14ac:dyDescent="0.25">
      <c r="A198" s="36">
        <v>41001</v>
      </c>
      <c r="B198" s="36" t="s">
        <v>628</v>
      </c>
      <c r="C198" s="33">
        <v>1.48</v>
      </c>
      <c r="D198" s="38" t="s">
        <v>826</v>
      </c>
      <c r="E198" s="33" t="s">
        <v>826</v>
      </c>
      <c r="F198" s="39" t="s">
        <v>826</v>
      </c>
      <c r="G198" s="33" t="s">
        <v>826</v>
      </c>
      <c r="H198" s="33" t="s">
        <v>826</v>
      </c>
      <c r="I198" s="33" t="s">
        <v>826</v>
      </c>
      <c r="J198" s="33" t="s">
        <v>826</v>
      </c>
      <c r="K198" s="33" t="s">
        <v>826</v>
      </c>
      <c r="L198" s="33" t="s">
        <v>826</v>
      </c>
    </row>
    <row r="199" spans="1:12" ht="13.15" customHeight="1" x14ac:dyDescent="0.25">
      <c r="A199" s="36">
        <v>41002</v>
      </c>
      <c r="B199" s="36" t="s">
        <v>629</v>
      </c>
      <c r="C199" s="33" t="s">
        <v>826</v>
      </c>
      <c r="D199" s="38" t="s">
        <v>826</v>
      </c>
      <c r="E199" s="33" t="s">
        <v>826</v>
      </c>
      <c r="F199" s="39" t="s">
        <v>826</v>
      </c>
      <c r="G199" s="33" t="s">
        <v>826</v>
      </c>
      <c r="H199" s="33" t="s">
        <v>826</v>
      </c>
      <c r="I199" s="33" t="s">
        <v>826</v>
      </c>
      <c r="J199" s="33" t="s">
        <v>826</v>
      </c>
      <c r="K199" s="33" t="s">
        <v>826</v>
      </c>
      <c r="L199" s="45">
        <v>22.6</v>
      </c>
    </row>
    <row r="200" spans="1:12" ht="13.15" customHeight="1" x14ac:dyDescent="0.25">
      <c r="A200" s="36">
        <v>41003</v>
      </c>
      <c r="B200" s="36" t="s">
        <v>630</v>
      </c>
      <c r="C200" s="33" t="s">
        <v>826</v>
      </c>
      <c r="D200" s="38" t="s">
        <v>826</v>
      </c>
      <c r="E200" s="33" t="s">
        <v>826</v>
      </c>
      <c r="F200" s="39" t="s">
        <v>826</v>
      </c>
      <c r="G200" s="33" t="s">
        <v>826</v>
      </c>
      <c r="H200" s="33" t="s">
        <v>826</v>
      </c>
      <c r="I200" s="33" t="s">
        <v>826</v>
      </c>
      <c r="J200" s="33" t="s">
        <v>826</v>
      </c>
      <c r="K200" s="40">
        <v>3.67</v>
      </c>
      <c r="L200" s="33" t="s">
        <v>826</v>
      </c>
    </row>
    <row r="201" spans="1:12" ht="13.15" customHeight="1" x14ac:dyDescent="0.25">
      <c r="A201" s="36">
        <v>42001</v>
      </c>
      <c r="B201" s="36" t="s">
        <v>631</v>
      </c>
      <c r="C201" s="33" t="s">
        <v>826</v>
      </c>
      <c r="D201" s="38" t="s">
        <v>826</v>
      </c>
      <c r="E201" s="33" t="s">
        <v>826</v>
      </c>
      <c r="F201" s="39" t="s">
        <v>826</v>
      </c>
      <c r="G201" s="33" t="s">
        <v>826</v>
      </c>
      <c r="H201" s="40">
        <v>158.19999999999999</v>
      </c>
      <c r="I201" s="33" t="s">
        <v>826</v>
      </c>
      <c r="J201" s="33" t="s">
        <v>826</v>
      </c>
      <c r="K201" s="33" t="s">
        <v>826</v>
      </c>
      <c r="L201" s="33" t="s">
        <v>826</v>
      </c>
    </row>
    <row r="202" spans="1:12" ht="13.15" customHeight="1" x14ac:dyDescent="0.25">
      <c r="A202" s="36">
        <v>43001</v>
      </c>
      <c r="B202" s="36" t="s">
        <v>632</v>
      </c>
      <c r="C202" s="33" t="s">
        <v>826</v>
      </c>
      <c r="D202" s="38" t="s">
        <v>826</v>
      </c>
      <c r="E202" s="33" t="s">
        <v>826</v>
      </c>
      <c r="F202" s="39" t="s">
        <v>826</v>
      </c>
      <c r="G202" s="33" t="s">
        <v>826</v>
      </c>
      <c r="H202" s="33" t="s">
        <v>826</v>
      </c>
      <c r="I202" s="33" t="s">
        <v>826</v>
      </c>
      <c r="J202" s="33" t="s">
        <v>826</v>
      </c>
      <c r="K202" s="33" t="s">
        <v>826</v>
      </c>
      <c r="L202" s="45">
        <v>2825</v>
      </c>
    </row>
    <row r="203" spans="1:12" ht="13.15" customHeight="1" x14ac:dyDescent="0.25">
      <c r="A203" s="36">
        <v>44001</v>
      </c>
      <c r="B203" s="36" t="s">
        <v>633</v>
      </c>
      <c r="C203" s="33" t="s">
        <v>826</v>
      </c>
      <c r="D203" s="38" t="s">
        <v>826</v>
      </c>
      <c r="E203" s="33" t="s">
        <v>826</v>
      </c>
      <c r="F203" s="39" t="s">
        <v>826</v>
      </c>
      <c r="G203" s="33" t="s">
        <v>826</v>
      </c>
      <c r="H203" s="33" t="s">
        <v>826</v>
      </c>
      <c r="I203" s="33" t="s">
        <v>826</v>
      </c>
      <c r="J203" s="33">
        <v>3955</v>
      </c>
      <c r="K203" s="33" t="s">
        <v>826</v>
      </c>
      <c r="L203" s="33" t="s">
        <v>826</v>
      </c>
    </row>
    <row r="204" spans="1:12" ht="13.15" customHeight="1" x14ac:dyDescent="0.25">
      <c r="A204" s="36">
        <v>45001</v>
      </c>
      <c r="B204" s="36" t="s">
        <v>634</v>
      </c>
      <c r="C204" s="33" t="s">
        <v>826</v>
      </c>
      <c r="D204" s="42">
        <v>58.53</v>
      </c>
      <c r="E204" s="33" t="s">
        <v>826</v>
      </c>
      <c r="F204" s="39" t="s">
        <v>826</v>
      </c>
      <c r="G204" s="33" t="s">
        <v>826</v>
      </c>
      <c r="H204" s="33" t="s">
        <v>826</v>
      </c>
      <c r="I204" s="33" t="s">
        <v>826</v>
      </c>
      <c r="J204" s="33">
        <v>904</v>
      </c>
      <c r="K204" s="33" t="s">
        <v>826</v>
      </c>
      <c r="L204" s="33" t="s">
        <v>826</v>
      </c>
    </row>
    <row r="205" spans="1:12" ht="13.15" customHeight="1" x14ac:dyDescent="0.25">
      <c r="A205" s="36">
        <v>46001</v>
      </c>
      <c r="B205" s="36" t="s">
        <v>635</v>
      </c>
      <c r="C205" s="33" t="s">
        <v>826</v>
      </c>
      <c r="D205" s="38" t="s">
        <v>826</v>
      </c>
      <c r="E205" s="33" t="s">
        <v>826</v>
      </c>
      <c r="F205" s="39" t="s">
        <v>826</v>
      </c>
      <c r="G205" s="33" t="s">
        <v>826</v>
      </c>
      <c r="H205" s="33" t="s">
        <v>826</v>
      </c>
      <c r="I205" s="40">
        <v>206.79</v>
      </c>
      <c r="J205" s="33" t="s">
        <v>826</v>
      </c>
      <c r="K205" s="33" t="s">
        <v>826</v>
      </c>
      <c r="L205" s="33" t="s">
        <v>826</v>
      </c>
    </row>
    <row r="206" spans="1:12" ht="13.15" customHeight="1" x14ac:dyDescent="0.25">
      <c r="A206" s="36">
        <v>47001</v>
      </c>
      <c r="B206" s="36" t="s">
        <v>636</v>
      </c>
      <c r="C206" s="33" t="s">
        <v>826</v>
      </c>
      <c r="D206" s="38" t="s">
        <v>826</v>
      </c>
      <c r="E206" s="33" t="s">
        <v>826</v>
      </c>
      <c r="F206" s="39" t="s">
        <v>826</v>
      </c>
      <c r="G206" s="33" t="s">
        <v>826</v>
      </c>
      <c r="H206" s="33" t="s">
        <v>826</v>
      </c>
      <c r="I206" s="33" t="s">
        <v>826</v>
      </c>
      <c r="J206" s="33">
        <v>344.65</v>
      </c>
      <c r="K206" s="33" t="s">
        <v>826</v>
      </c>
      <c r="L206" s="33" t="s">
        <v>826</v>
      </c>
    </row>
    <row r="207" spans="1:12" ht="13.15" customHeight="1" x14ac:dyDescent="0.25">
      <c r="A207" s="36">
        <v>48001</v>
      </c>
      <c r="B207" s="36" t="s">
        <v>637</v>
      </c>
      <c r="C207" s="33" t="s">
        <v>826</v>
      </c>
      <c r="D207" s="38" t="s">
        <v>826</v>
      </c>
      <c r="E207" s="33" t="s">
        <v>826</v>
      </c>
      <c r="F207" s="39" t="s">
        <v>826</v>
      </c>
      <c r="G207" s="33" t="s">
        <v>826</v>
      </c>
      <c r="H207" s="33" t="s">
        <v>826</v>
      </c>
      <c r="I207" s="33" t="s">
        <v>826</v>
      </c>
      <c r="J207" s="33">
        <v>168.37</v>
      </c>
      <c r="K207" s="33" t="s">
        <v>826</v>
      </c>
      <c r="L207" s="33" t="s">
        <v>826</v>
      </c>
    </row>
    <row r="208" spans="1:12" ht="13.15" customHeight="1" x14ac:dyDescent="0.25">
      <c r="A208" s="36">
        <v>49001</v>
      </c>
      <c r="B208" s="36" t="s">
        <v>638</v>
      </c>
      <c r="C208" s="33" t="s">
        <v>826</v>
      </c>
      <c r="D208" s="38" t="s">
        <v>826</v>
      </c>
      <c r="E208" s="33" t="s">
        <v>826</v>
      </c>
      <c r="F208" s="39" t="s">
        <v>826</v>
      </c>
      <c r="G208" s="33" t="s">
        <v>826</v>
      </c>
      <c r="H208" s="40">
        <v>2582.0500000000002</v>
      </c>
      <c r="I208" s="33" t="s">
        <v>826</v>
      </c>
      <c r="J208" s="33" t="s">
        <v>826</v>
      </c>
      <c r="K208" s="33" t="s">
        <v>826</v>
      </c>
      <c r="L208" s="33" t="s">
        <v>826</v>
      </c>
    </row>
    <row r="209" spans="1:12" ht="13.15" customHeight="1" x14ac:dyDescent="0.25">
      <c r="A209" s="36">
        <v>50001</v>
      </c>
      <c r="B209" s="36" t="s">
        <v>639</v>
      </c>
      <c r="C209" s="33" t="s">
        <v>826</v>
      </c>
      <c r="D209" s="38" t="s">
        <v>826</v>
      </c>
      <c r="E209" s="33" t="s">
        <v>826</v>
      </c>
      <c r="F209" s="39" t="s">
        <v>826</v>
      </c>
      <c r="G209" s="33" t="s">
        <v>826</v>
      </c>
      <c r="H209" s="40">
        <v>413.04</v>
      </c>
      <c r="I209" s="33" t="s">
        <v>826</v>
      </c>
      <c r="J209" s="33" t="s">
        <v>826</v>
      </c>
      <c r="K209" s="33" t="s">
        <v>826</v>
      </c>
      <c r="L209" s="33" t="s">
        <v>826</v>
      </c>
    </row>
    <row r="210" spans="1:12" ht="13.15" customHeight="1" x14ac:dyDescent="0.25">
      <c r="A210" s="36">
        <v>51001</v>
      </c>
      <c r="B210" s="36" t="s">
        <v>640</v>
      </c>
      <c r="C210" s="33" t="s">
        <v>826</v>
      </c>
      <c r="D210" s="38" t="s">
        <v>826</v>
      </c>
      <c r="E210" s="33" t="s">
        <v>826</v>
      </c>
      <c r="F210" s="39" t="s">
        <v>826</v>
      </c>
      <c r="G210" s="33" t="s">
        <v>826</v>
      </c>
      <c r="H210" s="40">
        <v>1228.31</v>
      </c>
      <c r="I210" s="33" t="s">
        <v>826</v>
      </c>
      <c r="J210" s="33" t="s">
        <v>826</v>
      </c>
      <c r="K210" s="33" t="s">
        <v>826</v>
      </c>
      <c r="L210" s="33" t="s">
        <v>826</v>
      </c>
    </row>
  </sheetData>
  <autoFilter ref="A1:W210" xr:uid="{00000000-0009-0000-0000-000009000000}"/>
  <phoneticPr fontId="3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4"/>
  <sheetViews>
    <sheetView workbookViewId="0">
      <selection activeCell="J11" sqref="J10:J11"/>
    </sheetView>
  </sheetViews>
  <sheetFormatPr defaultColWidth="9.69140625" defaultRowHeight="13.15" customHeight="1" x14ac:dyDescent="0.25"/>
  <cols>
    <col min="1" max="1" width="18.3046875" style="1" customWidth="1"/>
    <col min="2" max="2" width="22.69140625" style="1" customWidth="1"/>
    <col min="3" max="3" width="17.84375" style="1" customWidth="1"/>
    <col min="4" max="4" width="16.15234375" style="1" customWidth="1"/>
    <col min="5" max="5" width="14.69140625" style="1" customWidth="1"/>
    <col min="6" max="6" width="12.84375" style="1" customWidth="1"/>
    <col min="7" max="7" width="11.69140625" style="1" customWidth="1"/>
    <col min="9" max="9" width="20.69140625" style="1" customWidth="1"/>
    <col min="10" max="10" width="22.69140625" style="1" customWidth="1"/>
    <col min="11" max="11" width="15" style="1" customWidth="1"/>
    <col min="12" max="12" width="29.3046875" style="1" customWidth="1"/>
    <col min="13" max="13" width="33.84375" style="1" customWidth="1"/>
  </cols>
  <sheetData>
    <row r="1" spans="1:12" ht="13.15" customHeight="1" x14ac:dyDescent="0.45">
      <c r="I1" s="24"/>
    </row>
    <row r="2" spans="1:12" ht="14" customHeight="1" x14ac:dyDescent="0.25">
      <c r="B2" s="2" t="s">
        <v>827</v>
      </c>
      <c r="C2" s="3" t="s">
        <v>828</v>
      </c>
      <c r="E2" s="4" t="s">
        <v>827</v>
      </c>
      <c r="F2" s="5" t="s">
        <v>828</v>
      </c>
      <c r="I2" s="5"/>
      <c r="J2" s="25" t="s">
        <v>829</v>
      </c>
      <c r="K2" s="26"/>
      <c r="L2" s="27"/>
    </row>
    <row r="3" spans="1:12" ht="13.15" customHeight="1" x14ac:dyDescent="0.25">
      <c r="B3" s="6" t="str">
        <f>进出口预算表!C16</f>
        <v>一切险</v>
      </c>
      <c r="C3" s="7">
        <f>VLOOKUP(B3,J4:L15,2,FALSE)</f>
        <v>8</v>
      </c>
      <c r="E3" s="5" t="str">
        <f>进出口预算表!C16</f>
        <v>一切险</v>
      </c>
      <c r="F3" s="8">
        <f>VLOOKUP(进出口预算表!C16,保费!J5:L15,2,FALSE)</f>
        <v>8</v>
      </c>
      <c r="I3" s="5"/>
      <c r="J3" s="28" t="s">
        <v>830</v>
      </c>
      <c r="K3" s="28" t="s">
        <v>831</v>
      </c>
      <c r="L3" s="28" t="s">
        <v>832</v>
      </c>
    </row>
    <row r="4" spans="1:12" ht="13.15" customHeight="1" x14ac:dyDescent="0.25">
      <c r="B4" s="6" t="str">
        <f>进出口预算表!C17</f>
        <v>战争险</v>
      </c>
      <c r="C4" s="7">
        <f>VLOOKUP(B4,J5:L17,2,FALSE)</f>
        <v>0.8</v>
      </c>
      <c r="E4" s="5" t="str">
        <f>进出口预算表!C17</f>
        <v>战争险</v>
      </c>
      <c r="F4" s="8">
        <f>VLOOKUP(进出口预算表!C17,保费!J5:L15,2,FALSE)</f>
        <v>0.8</v>
      </c>
      <c r="I4" s="29" t="s">
        <v>833</v>
      </c>
      <c r="J4" s="5" t="s">
        <v>834</v>
      </c>
      <c r="K4" s="28"/>
      <c r="L4" s="28"/>
    </row>
    <row r="5" spans="1:12" ht="13.15" customHeight="1" x14ac:dyDescent="0.25">
      <c r="B5" s="6" t="str">
        <f>进出口预算表!C18</f>
        <v>罢工险</v>
      </c>
      <c r="C5" s="9"/>
      <c r="E5" s="5" t="str">
        <f>进出口预算表!C18</f>
        <v>罢工险</v>
      </c>
      <c r="F5" s="8">
        <v>0</v>
      </c>
      <c r="I5" s="385" t="s">
        <v>835</v>
      </c>
      <c r="J5" s="30" t="s">
        <v>836</v>
      </c>
      <c r="K5" s="31">
        <v>8</v>
      </c>
      <c r="L5" s="28" t="s">
        <v>837</v>
      </c>
    </row>
    <row r="6" spans="1:12" ht="16.75" customHeight="1" x14ac:dyDescent="0.35">
      <c r="B6" s="10" t="s">
        <v>838</v>
      </c>
      <c r="C6" s="7">
        <f>进出口预算表!C19</f>
        <v>8.8000000000000007</v>
      </c>
      <c r="E6" s="11" t="s">
        <v>839</v>
      </c>
      <c r="F6" s="5">
        <f>进出口预算表!C19</f>
        <v>8.8000000000000007</v>
      </c>
      <c r="I6" s="386"/>
      <c r="J6" s="28" t="s">
        <v>840</v>
      </c>
      <c r="K6" s="31">
        <v>6</v>
      </c>
      <c r="L6" s="28" t="s">
        <v>841</v>
      </c>
    </row>
    <row r="7" spans="1:12" ht="14.25" customHeight="1" x14ac:dyDescent="0.25">
      <c r="B7" s="12" t="s">
        <v>169</v>
      </c>
      <c r="C7" s="13">
        <f>进出口预算表!C15</f>
        <v>1.3</v>
      </c>
      <c r="E7" s="11" t="s">
        <v>169</v>
      </c>
      <c r="F7" s="14">
        <f>进出口预算表!C15</f>
        <v>1.3</v>
      </c>
      <c r="I7" s="387"/>
      <c r="J7" s="28" t="s">
        <v>842</v>
      </c>
      <c r="K7" s="31">
        <v>5</v>
      </c>
      <c r="L7" s="28" t="s">
        <v>843</v>
      </c>
    </row>
    <row r="8" spans="1:12" ht="13.15" customHeight="1" x14ac:dyDescent="0.25">
      <c r="B8" s="15" t="str">
        <f>"出口商报价"&amp;进出口预算表!C8</f>
        <v>出口商报价USD</v>
      </c>
      <c r="C8" s="16">
        <f>进出口预算表!D21</f>
        <v>223915</v>
      </c>
      <c r="I8" s="388" t="s">
        <v>844</v>
      </c>
      <c r="J8" s="28" t="s">
        <v>845</v>
      </c>
      <c r="K8" s="31">
        <v>8</v>
      </c>
      <c r="L8" s="28" t="s">
        <v>846</v>
      </c>
    </row>
    <row r="9" spans="1:12" ht="13.15" customHeight="1" x14ac:dyDescent="0.25">
      <c r="B9" s="15" t="str">
        <f>"投保金额"&amp;进出口预算表!C8</f>
        <v>投保金额USD</v>
      </c>
      <c r="C9" s="16">
        <f>MAX(C15:C20)</f>
        <v>291089.5</v>
      </c>
      <c r="I9" s="389"/>
      <c r="J9" s="28" t="s">
        <v>847</v>
      </c>
      <c r="K9" s="31">
        <v>6</v>
      </c>
      <c r="L9" s="28" t="s">
        <v>848</v>
      </c>
    </row>
    <row r="10" spans="1:12" ht="13.15" customHeight="1" x14ac:dyDescent="0.25">
      <c r="B10" s="15" t="s">
        <v>221</v>
      </c>
      <c r="C10" s="16">
        <f>MAX(D15:D20)</f>
        <v>2561.59</v>
      </c>
      <c r="I10" s="390"/>
      <c r="J10" s="28" t="s">
        <v>849</v>
      </c>
      <c r="K10" s="31">
        <v>5</v>
      </c>
      <c r="L10" s="28" t="s">
        <v>850</v>
      </c>
    </row>
    <row r="11" spans="1:12" ht="13.9" customHeight="1" x14ac:dyDescent="0.25">
      <c r="B11" s="17" t="s">
        <v>216</v>
      </c>
      <c r="C11" s="18">
        <f>运费!G30</f>
        <v>5774</v>
      </c>
      <c r="I11" s="391" t="s">
        <v>851</v>
      </c>
      <c r="J11" s="28" t="s">
        <v>852</v>
      </c>
      <c r="K11" s="31">
        <v>2</v>
      </c>
      <c r="L11" s="28" t="s">
        <v>853</v>
      </c>
    </row>
    <row r="12" spans="1:12" ht="13.15" customHeight="1" x14ac:dyDescent="0.25">
      <c r="D12" s="19"/>
      <c r="I12" s="392"/>
      <c r="J12" s="28" t="s">
        <v>174</v>
      </c>
      <c r="K12" s="31">
        <v>3.5</v>
      </c>
      <c r="L12" s="28" t="s">
        <v>854</v>
      </c>
    </row>
    <row r="13" spans="1:12" ht="13.15" customHeight="1" x14ac:dyDescent="0.25">
      <c r="A13" s="1" t="s">
        <v>141</v>
      </c>
      <c r="B13" s="1" t="str">
        <f>进出口预算表!C9</f>
        <v>CIF</v>
      </c>
      <c r="I13" s="32"/>
      <c r="J13" s="28" t="s">
        <v>855</v>
      </c>
      <c r="K13" s="33"/>
      <c r="L13" s="5"/>
    </row>
    <row r="14" spans="1:12" ht="13.15" customHeight="1" x14ac:dyDescent="0.25">
      <c r="A14" s="5"/>
      <c r="B14" s="5" t="str">
        <f>"出口商报价"&amp;进出口预算表!C8</f>
        <v>出口商报价USD</v>
      </c>
      <c r="C14" s="5" t="str">
        <f>"投保金额"&amp;进出口预算表!C8</f>
        <v>投保金额USD</v>
      </c>
      <c r="D14" s="5" t="str">
        <f>"保费"&amp;进出口预算表!C8</f>
        <v>保费USD</v>
      </c>
      <c r="E14" s="5" t="str">
        <f>"进口商保费"&amp;进出口预算表!C7</f>
        <v>进口商保费RUB</v>
      </c>
      <c r="F14" s="5" t="str">
        <f>"出口商保费"&amp;进出口预算表!C7</f>
        <v>出口商保费RUB</v>
      </c>
      <c r="I14" s="391" t="s">
        <v>856</v>
      </c>
      <c r="J14" s="30" t="s">
        <v>177</v>
      </c>
      <c r="K14" s="31">
        <v>0.8</v>
      </c>
      <c r="L14" s="28" t="s">
        <v>857</v>
      </c>
    </row>
    <row r="15" spans="1:12" ht="13.15" customHeight="1" x14ac:dyDescent="0.25">
      <c r="A15" s="5" t="s">
        <v>858</v>
      </c>
      <c r="B15" s="20">
        <f>IF(EXACT(A15,进出口预算表!$C$9)=TRUE,进出口预算表!$D$21,0)</f>
        <v>0</v>
      </c>
      <c r="C15" s="20">
        <f>IF(进出口预算表!$C$9=A15,(B15+$C$11)*$C$7/(1-$C$7*$C$6/1000),0)</f>
        <v>0</v>
      </c>
      <c r="D15" s="20">
        <f t="shared" ref="D15:D20" si="0">ROUND(C15*$C$6/1000,2)</f>
        <v>0</v>
      </c>
      <c r="E15" s="20">
        <f>D15/进出口预算表!$K$4</f>
        <v>0</v>
      </c>
      <c r="F15" s="20">
        <f>D15/进出口预算表!$P$4</f>
        <v>0</v>
      </c>
      <c r="I15" s="392"/>
      <c r="J15" s="28" t="s">
        <v>180</v>
      </c>
      <c r="K15" s="31">
        <v>0.8</v>
      </c>
      <c r="L15" s="28" t="s">
        <v>859</v>
      </c>
    </row>
    <row r="16" spans="1:12" ht="13.15" customHeight="1" x14ac:dyDescent="0.25">
      <c r="A16" s="5" t="s">
        <v>860</v>
      </c>
      <c r="B16" s="20">
        <f>IF(EXACT(A16,进出口预算表!$C$9)=TRUE,进出口预算表!$D$21,0)</f>
        <v>0</v>
      </c>
      <c r="C16" s="20">
        <f>IF(进出口预算表!$C$9=A16,(B16)*$C$7/(1-$C$7*$C$6/1000),0)</f>
        <v>0</v>
      </c>
      <c r="D16" s="20">
        <f t="shared" si="0"/>
        <v>0</v>
      </c>
      <c r="E16" s="20">
        <f>D16/进出口预算表!$K$4</f>
        <v>0</v>
      </c>
      <c r="F16" s="20">
        <f>D16/进出口预算表!$P$4</f>
        <v>0</v>
      </c>
      <c r="I16" s="1" t="s">
        <v>861</v>
      </c>
    </row>
    <row r="17" spans="1:9" ht="13.15" customHeight="1" x14ac:dyDescent="0.25">
      <c r="A17" s="5" t="s">
        <v>862</v>
      </c>
      <c r="B17" s="20">
        <f>IF(EXACT(A17,进出口预算表!$C$9)=TRUE,进出口预算表!$D$21,0)</f>
        <v>223915</v>
      </c>
      <c r="C17" s="20">
        <f>B17*C7</f>
        <v>291089.5</v>
      </c>
      <c r="D17" s="20">
        <f t="shared" si="0"/>
        <v>2561.59</v>
      </c>
      <c r="E17" s="20">
        <f>D17/进出口预算表!$K$4</f>
        <v>4885.7333587640669</v>
      </c>
      <c r="F17" s="20">
        <f>D17/进出口预算表!$P$4</f>
        <v>75119.941348973618</v>
      </c>
      <c r="G17" s="21"/>
      <c r="I17" s="1" t="s">
        <v>863</v>
      </c>
    </row>
    <row r="18" spans="1:9" ht="13.15" customHeight="1" x14ac:dyDescent="0.25">
      <c r="A18" s="5" t="s">
        <v>142</v>
      </c>
      <c r="B18" s="20">
        <f>IF(EXACT(A18,进出口预算表!$C$9)=TRUE,进出口预算表!$D$21,0)</f>
        <v>0</v>
      </c>
      <c r="C18" s="20">
        <f>IF(进出口预算表!$C$9=A18,(B18+$C$11)*$C$7/(1-$C$7*$C$6/1000),0)</f>
        <v>0</v>
      </c>
      <c r="D18" s="20">
        <f t="shared" si="0"/>
        <v>0</v>
      </c>
      <c r="E18" s="20">
        <f>D18/进出口预算表!P5</f>
        <v>0</v>
      </c>
      <c r="F18" s="20">
        <f>D18/进出口预算表!$P$4</f>
        <v>0</v>
      </c>
      <c r="H18" s="22"/>
      <c r="I18" s="1" t="s">
        <v>864</v>
      </c>
    </row>
    <row r="19" spans="1:9" ht="13.15" customHeight="1" x14ac:dyDescent="0.25">
      <c r="A19" s="5" t="s">
        <v>865</v>
      </c>
      <c r="B19" s="20">
        <f>IF(EXACT(A19,进出口预算表!$C$9)=TRUE,进出口预算表!$D$21,0)</f>
        <v>0</v>
      </c>
      <c r="C19" s="20">
        <f>IF(进出口预算表!$C$9=A19,B19*$C$7/(1-$C$7*$C$6/1000),0)</f>
        <v>0</v>
      </c>
      <c r="D19" s="20">
        <f t="shared" si="0"/>
        <v>0</v>
      </c>
      <c r="E19" s="20">
        <f>D19/进出口预算表!$K$4</f>
        <v>0</v>
      </c>
      <c r="F19" s="20">
        <f>D19/进出口预算表!$P$4</f>
        <v>0</v>
      </c>
    </row>
    <row r="20" spans="1:9" ht="13.15" customHeight="1" x14ac:dyDescent="0.25">
      <c r="A20" s="5" t="s">
        <v>866</v>
      </c>
      <c r="B20" s="20">
        <f>IF(EXACT(A20,进出口预算表!$C$9)=TRUE,进出口预算表!$D$21,0)</f>
        <v>0</v>
      </c>
      <c r="C20" s="20">
        <f>B20*C7</f>
        <v>0</v>
      </c>
      <c r="D20" s="20">
        <f t="shared" si="0"/>
        <v>0</v>
      </c>
      <c r="E20" s="20">
        <f>D20/进出口预算表!$K$4</f>
        <v>0</v>
      </c>
      <c r="F20" s="20">
        <f>D20/进出口预算表!$P$4</f>
        <v>0</v>
      </c>
    </row>
    <row r="21" spans="1:9" ht="13.15" customHeight="1" x14ac:dyDescent="0.25">
      <c r="C21" s="21"/>
      <c r="D21" s="21"/>
    </row>
    <row r="23" spans="1:9" ht="13.15" customHeight="1" x14ac:dyDescent="0.25">
      <c r="A23" s="5" t="s">
        <v>867</v>
      </c>
      <c r="B23" s="5" t="s">
        <v>868</v>
      </c>
      <c r="C23" s="5" t="s">
        <v>869</v>
      </c>
      <c r="D23" s="5" t="s">
        <v>870</v>
      </c>
    </row>
    <row r="24" spans="1:9" ht="13.15" customHeight="1" x14ac:dyDescent="0.25">
      <c r="A24" s="5" t="s">
        <v>858</v>
      </c>
      <c r="B24" s="20">
        <f>IF($A24=保费!$B$13,保费!$B15,0)</f>
        <v>0</v>
      </c>
      <c r="C24" s="20">
        <f>IF($A24=保费!$B$13,B24+保费!$C$11,0)</f>
        <v>0</v>
      </c>
      <c r="D24" s="20">
        <f>IF($A24=保费!$B$13,B24+保费!$C$11+保费!$D15,0)</f>
        <v>0</v>
      </c>
      <c r="G24" s="21"/>
    </row>
    <row r="25" spans="1:9" ht="13.15" customHeight="1" x14ac:dyDescent="0.25">
      <c r="A25" s="5" t="s">
        <v>860</v>
      </c>
      <c r="B25" s="20">
        <f>IF($A25=保费!$B$13,保费!$B16-保费!$C$11,0)</f>
        <v>0</v>
      </c>
      <c r="C25" s="20">
        <f>IF($A25=保费!$B$13,保费!$B16,0)</f>
        <v>0</v>
      </c>
      <c r="D25" s="20">
        <f>IF($A25=保费!$B$13,保费!$B16+保费!$D16,0)</f>
        <v>0</v>
      </c>
    </row>
    <row r="26" spans="1:9" ht="13.15" customHeight="1" x14ac:dyDescent="0.25">
      <c r="A26" s="5" t="s">
        <v>862</v>
      </c>
      <c r="B26" s="20">
        <f>IF($A26=保费!$B$13,保费!$B17-保费!C10-保费!C11,0)</f>
        <v>215579.41</v>
      </c>
      <c r="C26" s="20">
        <f>IF($A26=保费!$B$13,保费!$B17-保费!C10,0)</f>
        <v>221353.41</v>
      </c>
      <c r="D26" s="20">
        <f>IF($A26=保费!$B$13,保费!$B17,0)</f>
        <v>223915</v>
      </c>
    </row>
    <row r="27" spans="1:9" ht="13.15" customHeight="1" x14ac:dyDescent="0.25">
      <c r="A27" s="5" t="s">
        <v>142</v>
      </c>
      <c r="B27" s="20">
        <f>IF($A27=保费!$B$13,保费!B18,0)</f>
        <v>0</v>
      </c>
      <c r="C27" s="20">
        <f>IF($A27=保费!$B$13,B27+保费!$C$11,0)</f>
        <v>0</v>
      </c>
      <c r="D27" s="20">
        <f>IF($A27=保费!$B$13,B27+保费!$C$11+保费!C10,0)</f>
        <v>0</v>
      </c>
      <c r="E27" s="21">
        <f>保费!D27*C7</f>
        <v>0</v>
      </c>
    </row>
    <row r="28" spans="1:9" ht="13.15" customHeight="1" x14ac:dyDescent="0.25">
      <c r="A28" s="5" t="s">
        <v>865</v>
      </c>
      <c r="B28" s="20">
        <f>IF($A28=保费!$B$13,保费!B19-保费!$C$11,0)</f>
        <v>0</v>
      </c>
      <c r="C28" s="20">
        <f>IF($A28=保费!$B$13,保费!B19,0)</f>
        <v>0</v>
      </c>
      <c r="D28" s="20">
        <f>IF($A28=保费!$B$13,保费!B19+保费!C10,0)</f>
        <v>0</v>
      </c>
    </row>
    <row r="29" spans="1:9" ht="13.15" customHeight="1" x14ac:dyDescent="0.25">
      <c r="A29" s="5" t="s">
        <v>866</v>
      </c>
      <c r="B29" s="20">
        <f>IF($A29=保费!$B$13,保费!$B20-保费!C10-保费!C11,0)</f>
        <v>0</v>
      </c>
      <c r="C29" s="20">
        <f>IF($A29=保费!$B$13,保费!$B20-保费!C10,0)</f>
        <v>0</v>
      </c>
      <c r="D29" s="20">
        <f>IF($A29=保费!$B$13,保费!B20,0)</f>
        <v>0</v>
      </c>
    </row>
    <row r="32" spans="1:9" ht="13.15" customHeight="1" x14ac:dyDescent="0.25">
      <c r="A32" s="5" t="s">
        <v>871</v>
      </c>
      <c r="B32" s="5" t="s">
        <v>872</v>
      </c>
      <c r="C32" s="5" t="s">
        <v>873</v>
      </c>
      <c r="D32" s="5" t="s">
        <v>874</v>
      </c>
    </row>
    <row r="33" spans="1:4" ht="13.15" customHeight="1" x14ac:dyDescent="0.25">
      <c r="A33" s="5" t="s">
        <v>147</v>
      </c>
      <c r="B33" s="5" t="s">
        <v>815</v>
      </c>
      <c r="C33" s="5" t="s">
        <v>817</v>
      </c>
      <c r="D33" s="5" t="s">
        <v>819</v>
      </c>
    </row>
    <row r="34" spans="1:4" ht="13.15" customHeight="1" x14ac:dyDescent="0.25">
      <c r="A34" s="5" t="s">
        <v>875</v>
      </c>
      <c r="B34" s="5" t="s">
        <v>153</v>
      </c>
      <c r="C34" s="5" t="s">
        <v>875</v>
      </c>
      <c r="D34" s="23" t="s">
        <v>876</v>
      </c>
    </row>
    <row r="35" spans="1:4" ht="13.15" customHeight="1" x14ac:dyDescent="0.25">
      <c r="A35" s="5" t="s">
        <v>153</v>
      </c>
      <c r="B35" s="5" t="s">
        <v>877</v>
      </c>
      <c r="C35" s="5"/>
      <c r="D35" s="23" t="s">
        <v>878</v>
      </c>
    </row>
    <row r="36" spans="1:4" ht="13.15" customHeight="1" x14ac:dyDescent="0.25">
      <c r="A36" s="5" t="s">
        <v>877</v>
      </c>
      <c r="B36" s="5" t="s">
        <v>879</v>
      </c>
      <c r="C36" s="5"/>
      <c r="D36" s="23" t="s">
        <v>880</v>
      </c>
    </row>
    <row r="37" spans="1:4" ht="13.15" customHeight="1" x14ac:dyDescent="0.25">
      <c r="A37" s="5" t="s">
        <v>879</v>
      </c>
      <c r="B37" s="5" t="s">
        <v>881</v>
      </c>
      <c r="C37" s="5"/>
      <c r="D37" s="23" t="s">
        <v>882</v>
      </c>
    </row>
    <row r="38" spans="1:4" ht="13.15" customHeight="1" x14ac:dyDescent="0.25">
      <c r="A38" s="5" t="s">
        <v>881</v>
      </c>
      <c r="B38" s="5" t="s">
        <v>724</v>
      </c>
      <c r="C38" s="5"/>
      <c r="D38" s="23" t="s">
        <v>883</v>
      </c>
    </row>
    <row r="39" spans="1:4" ht="13.15" customHeight="1" x14ac:dyDescent="0.25">
      <c r="A39" s="5"/>
      <c r="B39" s="5"/>
      <c r="C39" s="5"/>
      <c r="D39" s="23" t="s">
        <v>884</v>
      </c>
    </row>
    <row r="40" spans="1:4" ht="13.15" customHeight="1" x14ac:dyDescent="0.25">
      <c r="A40" s="5"/>
      <c r="B40" s="5"/>
      <c r="C40" s="5"/>
      <c r="D40" s="23" t="s">
        <v>885</v>
      </c>
    </row>
    <row r="41" spans="1:4" ht="13.15" customHeight="1" x14ac:dyDescent="0.25">
      <c r="A41" s="5"/>
      <c r="B41" s="5"/>
      <c r="C41" s="5"/>
      <c r="D41" s="23" t="s">
        <v>886</v>
      </c>
    </row>
    <row r="42" spans="1:4" ht="13.15" customHeight="1" x14ac:dyDescent="0.25">
      <c r="A42" s="5"/>
      <c r="B42" s="5"/>
      <c r="C42" s="5"/>
      <c r="D42" s="23" t="s">
        <v>887</v>
      </c>
    </row>
    <row r="43" spans="1:4" ht="13.15" customHeight="1" x14ac:dyDescent="0.25">
      <c r="A43" s="5"/>
      <c r="B43" s="5"/>
      <c r="C43" s="5"/>
      <c r="D43" s="23" t="s">
        <v>888</v>
      </c>
    </row>
    <row r="44" spans="1:4" ht="13.15" customHeight="1" x14ac:dyDescent="0.25">
      <c r="A44" s="5"/>
      <c r="B44" s="5"/>
      <c r="C44" s="5"/>
      <c r="D44" s="23" t="s">
        <v>889</v>
      </c>
    </row>
  </sheetData>
  <sheetProtection selectLockedCells="1"/>
  <mergeCells count="4">
    <mergeCell ref="I5:I7"/>
    <mergeCell ref="I8:I10"/>
    <mergeCell ref="I11:I12"/>
    <mergeCell ref="I14:I15"/>
  </mergeCells>
  <phoneticPr fontId="35" type="noConversion"/>
  <dataValidations count="1">
    <dataValidation allowBlank="1" showErrorMessage="1" sqref="B7 E7" xr:uid="{00000000-0002-0000-0A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215"/>
  <sheetViews>
    <sheetView workbookViewId="0"/>
  </sheetViews>
  <sheetFormatPr defaultColWidth="9.69140625" defaultRowHeight="13.15" customHeight="1" x14ac:dyDescent="0.35"/>
  <cols>
    <col min="1" max="1" width="20" style="85" customWidth="1"/>
    <col min="2" max="2" width="15.15234375" style="85" customWidth="1"/>
    <col min="3" max="3" width="15.69140625" style="85" customWidth="1"/>
    <col min="4" max="4" width="16.15234375" style="85" customWidth="1"/>
    <col min="5" max="5" width="17.4609375" style="85" customWidth="1"/>
    <col min="6" max="6" width="16.4609375" style="85" customWidth="1"/>
    <col min="7" max="7" width="11.84375" style="85" customWidth="1"/>
    <col min="8" max="8" width="24" style="85" customWidth="1"/>
    <col min="9" max="9" width="10.4609375" style="85" customWidth="1"/>
    <col min="10" max="40" width="9" style="85"/>
  </cols>
  <sheetData>
    <row r="1" spans="1:17" ht="13.15" customHeight="1" x14ac:dyDescent="0.35">
      <c r="A1" s="85" t="s">
        <v>87</v>
      </c>
      <c r="B1" s="85" t="s">
        <v>88</v>
      </c>
      <c r="C1" s="85" t="s">
        <v>89</v>
      </c>
      <c r="D1" s="85" t="s">
        <v>90</v>
      </c>
      <c r="E1" s="85" t="s">
        <v>91</v>
      </c>
      <c r="F1" s="85" t="s">
        <v>91</v>
      </c>
      <c r="H1" s="85" t="e">
        <f>VLOOKUP(海运_航线名称,海运_航线代号对照表,2,0)</f>
        <v>#N/A</v>
      </c>
      <c r="L1" s="85" t="s">
        <v>92</v>
      </c>
      <c r="M1" s="85" t="s">
        <v>93</v>
      </c>
    </row>
    <row r="2" spans="1:17" ht="13.15" customHeight="1" x14ac:dyDescent="0.35">
      <c r="E2" s="85" t="s">
        <v>94</v>
      </c>
      <c r="F2" s="85" t="s">
        <v>95</v>
      </c>
      <c r="G2" s="85" t="s">
        <v>96</v>
      </c>
      <c r="H2" s="297" t="str">
        <f>海运部!C11</f>
        <v>此表只包含澳大利亚航线</v>
      </c>
      <c r="L2" s="85" t="s">
        <v>2</v>
      </c>
      <c r="M2" s="85" t="s">
        <v>6</v>
      </c>
    </row>
    <row r="3" spans="1:17" ht="13.15" customHeight="1" x14ac:dyDescent="0.35">
      <c r="A3" s="85" t="s">
        <v>97</v>
      </c>
      <c r="B3" s="85" t="e">
        <f ca="1">OFFSET($L1,海运_控制下移量,1)</f>
        <v>#N/A</v>
      </c>
      <c r="C3" s="85" t="e">
        <f ca="1">OFFSET($L1,海运_控制下移量,2)</f>
        <v>#N/A</v>
      </c>
      <c r="D3" s="85" t="e">
        <f ca="1">OFFSET($L1,海运_控制下移量,3)</f>
        <v>#N/A</v>
      </c>
      <c r="E3" s="85" t="e">
        <f ca="1">OFFSET($L1,海运_控制下移量,4)</f>
        <v>#N/A</v>
      </c>
      <c r="F3" s="85" t="e">
        <f ca="1">OFFSET($L1,海运_控制下移量,5)</f>
        <v>#N/A</v>
      </c>
      <c r="L3" s="85" t="s">
        <v>7</v>
      </c>
      <c r="M3" s="85" t="s">
        <v>8</v>
      </c>
      <c r="N3" s="85" t="s">
        <v>9</v>
      </c>
      <c r="O3" s="85" t="s">
        <v>10</v>
      </c>
      <c r="P3" s="85" t="s">
        <v>11</v>
      </c>
    </row>
    <row r="4" spans="1:17" ht="13.15" customHeight="1" x14ac:dyDescent="0.35">
      <c r="A4" s="85" t="s">
        <v>98</v>
      </c>
      <c r="B4" s="85" t="e">
        <f ca="1">OFFSET($L2,海运_控制下移量,1)</f>
        <v>#N/A</v>
      </c>
      <c r="C4" s="85" t="e">
        <f ca="1">OFFSET($L2,海运_控制下移量,2)</f>
        <v>#N/A</v>
      </c>
      <c r="D4" s="85" t="e">
        <f ca="1">OFFSET($L2,海运_控制下移量,3)</f>
        <v>#N/A</v>
      </c>
      <c r="E4" s="85" t="e">
        <f ca="1">OFFSET($L2,海运_控制下移量,4)</f>
        <v>#N/A</v>
      </c>
      <c r="F4" s="85" t="e">
        <f ca="1">OFFSET($L2,海运_控制下移量,5)</f>
        <v>#N/A</v>
      </c>
      <c r="L4" s="85" t="s">
        <v>12</v>
      </c>
      <c r="M4" s="85" t="s">
        <v>18</v>
      </c>
      <c r="N4" s="85" t="s">
        <v>19</v>
      </c>
      <c r="O4" s="85" t="s">
        <v>20</v>
      </c>
      <c r="P4" s="85" t="s">
        <v>21</v>
      </c>
    </row>
    <row r="5" spans="1:17" ht="13.15" customHeight="1" x14ac:dyDescent="0.35">
      <c r="A5" s="85" t="s">
        <v>99</v>
      </c>
      <c r="B5" s="85" t="e">
        <f ca="1">OFFSET($L3,海运_控制下移量,1)</f>
        <v>#N/A</v>
      </c>
      <c r="C5" s="85" t="e">
        <f ca="1">OFFSET($L3,海运_控制下移量,2)</f>
        <v>#N/A</v>
      </c>
      <c r="D5" s="85" t="e">
        <f ca="1">OFFSET($L3,海运_控制下移量,3)</f>
        <v>#N/A</v>
      </c>
      <c r="E5" s="85" t="e">
        <f ca="1">OFFSET($L3,海运_控制下移量,4)</f>
        <v>#N/A</v>
      </c>
      <c r="F5" s="85" t="e">
        <f ca="1">OFFSET($L3,海运_控制下移量,5)</f>
        <v>#N/A</v>
      </c>
      <c r="G5" s="85" t="s">
        <v>17</v>
      </c>
      <c r="H5" s="85" t="e">
        <f>VLOOKUP(海运_航线名称,海运_航线代号对照表,3,0)</f>
        <v>#N/A</v>
      </c>
      <c r="L5" s="85" t="s">
        <v>87</v>
      </c>
      <c r="M5" s="85" t="s">
        <v>88</v>
      </c>
      <c r="N5" s="85" t="s">
        <v>89</v>
      </c>
      <c r="O5" s="85" t="s">
        <v>90</v>
      </c>
      <c r="P5" s="85" t="s">
        <v>91</v>
      </c>
      <c r="Q5" s="85" t="s">
        <v>91</v>
      </c>
    </row>
    <row r="6" spans="1:17" ht="13.15" customHeight="1" x14ac:dyDescent="0.35">
      <c r="A6" s="85" t="s">
        <v>100</v>
      </c>
      <c r="B6" s="85" t="e">
        <f ca="1">OFFSET($L4,海运_控制下移量,1)</f>
        <v>#N/A</v>
      </c>
      <c r="C6" s="85" t="e">
        <f ca="1">OFFSET($L4,海运_控制下移量,2)</f>
        <v>#N/A</v>
      </c>
      <c r="D6" s="85" t="e">
        <f ca="1">OFFSET($L4,海运_控制下移量,3)</f>
        <v>#N/A</v>
      </c>
      <c r="E6" s="85" t="e">
        <f ca="1">OFFSET($L4,海运_控制下移量,4)</f>
        <v>#N/A</v>
      </c>
      <c r="F6" s="85" t="e">
        <f ca="1">OFFSET($L4,海运_控制下移量,5)</f>
        <v>#N/A</v>
      </c>
      <c r="P6" s="85" t="s">
        <v>94</v>
      </c>
      <c r="Q6" s="85" t="s">
        <v>95</v>
      </c>
    </row>
    <row r="7" spans="1:17" ht="13.15" customHeight="1" x14ac:dyDescent="0.35">
      <c r="A7" s="85" t="s">
        <v>31</v>
      </c>
      <c r="B7" s="85" t="e">
        <f ca="1">OFFSET($L5,海运_控制下移量,1)</f>
        <v>#N/A</v>
      </c>
      <c r="C7" s="85" t="e">
        <f ca="1">OFFSET($L5,海运_控制下移量,2)</f>
        <v>#N/A</v>
      </c>
      <c r="D7" s="85" t="e">
        <f ca="1">OFFSET($L5,海运_控制下移量,3)</f>
        <v>#N/A</v>
      </c>
      <c r="E7" s="85" t="e">
        <f ca="1">OFFSET($L5,海运_控制下移量,4)</f>
        <v>#N/A</v>
      </c>
      <c r="F7" s="85" t="e">
        <f ca="1">OFFSET($L5,海运_控制下移量,5)</f>
        <v>#N/A</v>
      </c>
      <c r="L7" s="85" t="s">
        <v>97</v>
      </c>
      <c r="M7" s="85">
        <v>1326</v>
      </c>
      <c r="N7" s="85">
        <v>2429</v>
      </c>
      <c r="O7" s="85">
        <v>3075</v>
      </c>
      <c r="P7" s="85">
        <v>131</v>
      </c>
      <c r="Q7" s="85">
        <v>123</v>
      </c>
    </row>
    <row r="8" spans="1:17" ht="13.15" customHeight="1" x14ac:dyDescent="0.35">
      <c r="L8" s="85" t="s">
        <v>98</v>
      </c>
      <c r="M8" s="85">
        <v>1431</v>
      </c>
      <c r="N8" s="85">
        <v>2623</v>
      </c>
      <c r="O8" s="85">
        <v>3320</v>
      </c>
      <c r="P8" s="85">
        <v>142</v>
      </c>
      <c r="Q8" s="85">
        <v>151</v>
      </c>
    </row>
    <row r="9" spans="1:17" ht="13.15" customHeight="1" x14ac:dyDescent="0.35">
      <c r="F9" s="298" t="s">
        <v>101</v>
      </c>
      <c r="G9" s="298" t="s">
        <v>102</v>
      </c>
      <c r="H9" s="298" t="s">
        <v>2</v>
      </c>
      <c r="I9" s="299"/>
      <c r="J9" s="299"/>
      <c r="L9" s="85" t="s">
        <v>99</v>
      </c>
      <c r="M9" s="85">
        <v>0</v>
      </c>
      <c r="N9" s="85">
        <v>0</v>
      </c>
    </row>
    <row r="10" spans="1:17" ht="13.15" customHeight="1" x14ac:dyDescent="0.35">
      <c r="A10" s="150" t="s">
        <v>32</v>
      </c>
      <c r="F10" s="50" t="s">
        <v>11</v>
      </c>
      <c r="G10" s="50" t="s">
        <v>21</v>
      </c>
      <c r="H10" s="299" t="str">
        <f>M2</f>
        <v>Capetown-Melbourne</v>
      </c>
      <c r="I10" s="299">
        <v>1</v>
      </c>
      <c r="J10" s="299">
        <v>6</v>
      </c>
      <c r="L10" s="85" t="s">
        <v>100</v>
      </c>
      <c r="M10" s="85" t="s">
        <v>103</v>
      </c>
      <c r="N10" s="85" t="s">
        <v>104</v>
      </c>
    </row>
    <row r="11" spans="1:17" ht="13.15" customHeight="1" x14ac:dyDescent="0.35">
      <c r="A11" s="307" t="str">
        <f>进出口预算表!B3</f>
        <v>巴西</v>
      </c>
      <c r="B11" s="300" t="s">
        <v>2</v>
      </c>
      <c r="C11" s="85" t="str">
        <f>IF(AND(进出口预算表!B3="澳大利亚",进出口预算表!C3="日本"),海运部!H13,IF(AND(进出口预算表!B3="澳大利亚",进出口预算表!C3="英国"),海运部!H14,IF(AND(进出口预算表!B3="澳大利亚",进出口预算表!C3="南非"),海运部!H15,IF(AND(进出口预算表!B3="澳大利亚",进出口预算表!C3="美国"),海运部!H16,IF(AND(进出口预算表!B3="澳大利亚",进出口预算表!C3="古巴"),海运部!H17,IF(AND(进出口预算表!B3="澳大利亚",进出口预算表!C3="巴西"),海运部!H18,IF(AND(进出口预算表!B3="澳大利亚",进出口预算表!C3="中国"),海运部!H19,IF(AND(进出口预算表!B3="澳大利亚",进出口预算表!C3="俄罗斯"),海运部!H20,IF(AND(进出口预算表!B3="澳大利亚",进出口预算表!C3="德国"),海运部!H21,IF(AND(进出口预算表!B3="南非",进出口预算表!C3="澳大利亚"),海运部!H10,IF(AND(进出口预算表!B3="德国",进出口预算表!C3="澳大利亚"),海运部!H11,IF(AND(进出口预算表!B3="英国",进出口预算表!C3="澳大利亚"),海运部!H12,IF(AND(进出口预算表!B3="美国",进出口预算表!C3="澳大利亚"),海运部!H23,IF(AND(进出口预算表!B3="巴西",进出口预算表!C3="澳大利亚"),海运部!H24,IF(AND(进出口预算表!B3="古巴",进出口预算表!C3="澳大利亚"),海运部!H25,IF(AND(进出口预算表!B3="中国",进出口预算表!C3="澳大利亚"),海运部!H26,IF(AND(进出口预算表!B3="俄罗斯",进出口预算表!C3="澳大利亚"),海运部!H27,IF(AND(进出口预算表!B3="日本",进出口预算表!C3="澳大利亚"),海运部!H22,"此表只包含澳大利亚航线"))))))))))))))))))</f>
        <v>此表只包含澳大利亚航线</v>
      </c>
      <c r="F11" s="50" t="s">
        <v>38</v>
      </c>
      <c r="G11" s="50" t="s">
        <v>21</v>
      </c>
      <c r="H11" s="299" t="str">
        <f>M14</f>
        <v>Hamburg-Melbourne</v>
      </c>
      <c r="I11" s="299">
        <v>2</v>
      </c>
      <c r="J11" s="299">
        <v>18</v>
      </c>
      <c r="L11" s="85" t="s">
        <v>31</v>
      </c>
      <c r="M11" s="85">
        <v>17</v>
      </c>
    </row>
    <row r="12" spans="1:17" ht="13.15" customHeight="1" x14ac:dyDescent="0.35">
      <c r="A12" s="307"/>
      <c r="F12" s="50" t="s">
        <v>45</v>
      </c>
      <c r="G12" s="50" t="s">
        <v>21</v>
      </c>
      <c r="H12" s="299" t="str">
        <f>M26</f>
        <v>Liverpool-Melbourne</v>
      </c>
      <c r="I12" s="299">
        <v>3</v>
      </c>
      <c r="J12" s="299">
        <v>30</v>
      </c>
    </row>
    <row r="13" spans="1:17" ht="13.15" customHeight="1" x14ac:dyDescent="0.35">
      <c r="A13" s="308"/>
      <c r="F13" s="50" t="s">
        <v>21</v>
      </c>
      <c r="G13" s="50" t="s">
        <v>52</v>
      </c>
      <c r="H13" s="299" t="str">
        <f>M38</f>
        <v>Melbourne-Nagoya</v>
      </c>
      <c r="I13" s="299">
        <v>4</v>
      </c>
      <c r="J13" s="299">
        <v>42</v>
      </c>
      <c r="L13" s="85" t="s">
        <v>92</v>
      </c>
      <c r="M13" s="85" t="s">
        <v>105</v>
      </c>
    </row>
    <row r="14" spans="1:17" ht="13.15" customHeight="1" x14ac:dyDescent="0.35">
      <c r="A14" s="150" t="s">
        <v>39</v>
      </c>
      <c r="F14" s="50" t="s">
        <v>21</v>
      </c>
      <c r="G14" s="50" t="s">
        <v>45</v>
      </c>
      <c r="H14" s="299" t="str">
        <f>M50</f>
        <v>Melbourne-Liverpool</v>
      </c>
      <c r="I14" s="299">
        <v>5</v>
      </c>
      <c r="J14" s="299">
        <v>54</v>
      </c>
      <c r="L14" s="85" t="s">
        <v>2</v>
      </c>
      <c r="M14" s="85" t="s">
        <v>34</v>
      </c>
    </row>
    <row r="15" spans="1:17" ht="13.15" customHeight="1" x14ac:dyDescent="0.35">
      <c r="A15" s="309" t="str">
        <f>进出口预算表!C3</f>
        <v>俄罗斯</v>
      </c>
      <c r="F15" s="50" t="s">
        <v>21</v>
      </c>
      <c r="G15" s="50" t="s">
        <v>11</v>
      </c>
      <c r="H15" s="299" t="str">
        <f>M62</f>
        <v>Melbourne-Capetown</v>
      </c>
      <c r="I15" s="299">
        <v>6</v>
      </c>
      <c r="J15" s="299">
        <v>66</v>
      </c>
      <c r="L15" s="85" t="s">
        <v>7</v>
      </c>
      <c r="M15" s="85" t="s">
        <v>35</v>
      </c>
      <c r="N15" s="85" t="s">
        <v>36</v>
      </c>
      <c r="O15" s="85" t="s">
        <v>37</v>
      </c>
      <c r="P15" s="85" t="s">
        <v>38</v>
      </c>
    </row>
    <row r="16" spans="1:17" ht="13.15" customHeight="1" x14ac:dyDescent="0.35">
      <c r="A16" s="310"/>
      <c r="F16" s="50" t="s">
        <v>21</v>
      </c>
      <c r="G16" s="50" t="s">
        <v>64</v>
      </c>
      <c r="H16" s="299" t="str">
        <f>M74</f>
        <v>Melbourne-New York</v>
      </c>
      <c r="I16" s="299">
        <v>7</v>
      </c>
      <c r="J16" s="299">
        <v>78</v>
      </c>
      <c r="L16" s="85" t="s">
        <v>12</v>
      </c>
      <c r="M16" s="85" t="s">
        <v>18</v>
      </c>
      <c r="N16" s="85" t="s">
        <v>19</v>
      </c>
      <c r="O16" s="85" t="s">
        <v>20</v>
      </c>
      <c r="P16" s="85" t="s">
        <v>21</v>
      </c>
    </row>
    <row r="17" spans="1:17" ht="13.15" customHeight="1" x14ac:dyDescent="0.35">
      <c r="A17" s="311"/>
      <c r="F17" s="50" t="s">
        <v>21</v>
      </c>
      <c r="G17" s="50" t="s">
        <v>69</v>
      </c>
      <c r="H17" s="299" t="str">
        <f>M86</f>
        <v>Melbourne-Santiagos</v>
      </c>
      <c r="I17" s="299">
        <v>8</v>
      </c>
      <c r="J17" s="299">
        <v>90</v>
      </c>
      <c r="L17" s="85" t="s">
        <v>87</v>
      </c>
      <c r="M17" s="85" t="s">
        <v>88</v>
      </c>
      <c r="N17" s="85" t="s">
        <v>89</v>
      </c>
      <c r="O17" s="85" t="s">
        <v>90</v>
      </c>
      <c r="P17" s="85" t="s">
        <v>91</v>
      </c>
      <c r="Q17" s="85" t="s">
        <v>91</v>
      </c>
    </row>
    <row r="18" spans="1:17" ht="13.15" customHeight="1" x14ac:dyDescent="0.35">
      <c r="F18" s="50" t="s">
        <v>21</v>
      </c>
      <c r="G18" s="50" t="s">
        <v>74</v>
      </c>
      <c r="H18" s="299" t="str">
        <f>M98</f>
        <v>Melbourne-Rio De Janeiro</v>
      </c>
      <c r="I18" s="299">
        <v>9</v>
      </c>
      <c r="J18" s="299">
        <v>102</v>
      </c>
      <c r="P18" s="85" t="s">
        <v>94</v>
      </c>
      <c r="Q18" s="85" t="s">
        <v>95</v>
      </c>
    </row>
    <row r="19" spans="1:17" ht="13.15" customHeight="1" x14ac:dyDescent="0.35">
      <c r="F19" s="50" t="s">
        <v>21</v>
      </c>
      <c r="G19" s="50" t="s">
        <v>16</v>
      </c>
      <c r="H19" s="299" t="str">
        <f>M110</f>
        <v>Melbourne-Shanghai</v>
      </c>
      <c r="I19" s="299">
        <v>10</v>
      </c>
      <c r="J19" s="299">
        <v>114</v>
      </c>
      <c r="L19" s="85" t="s">
        <v>97</v>
      </c>
      <c r="M19" s="85">
        <v>1190</v>
      </c>
      <c r="N19" s="85">
        <v>2110</v>
      </c>
      <c r="O19" s="85">
        <v>2405</v>
      </c>
      <c r="P19" s="85">
        <v>139</v>
      </c>
      <c r="Q19" s="85">
        <v>128</v>
      </c>
    </row>
    <row r="20" spans="1:17" ht="13.15" customHeight="1" x14ac:dyDescent="0.35">
      <c r="F20" s="50" t="s">
        <v>21</v>
      </c>
      <c r="G20" s="50" t="s">
        <v>56</v>
      </c>
      <c r="H20" s="299" t="str">
        <f>M122</f>
        <v>Melbourne-St.Petersburg</v>
      </c>
      <c r="I20" s="299">
        <v>11</v>
      </c>
      <c r="J20" s="299">
        <v>126</v>
      </c>
      <c r="L20" s="85" t="s">
        <v>98</v>
      </c>
      <c r="M20" s="85">
        <v>1285</v>
      </c>
      <c r="N20" s="85">
        <v>2278</v>
      </c>
      <c r="O20" s="85">
        <v>2597</v>
      </c>
      <c r="P20" s="85">
        <v>150</v>
      </c>
      <c r="Q20" s="85">
        <v>138</v>
      </c>
    </row>
    <row r="21" spans="1:17" ht="13.15" customHeight="1" x14ac:dyDescent="0.35">
      <c r="F21" s="50" t="s">
        <v>21</v>
      </c>
      <c r="G21" s="50" t="s">
        <v>38</v>
      </c>
      <c r="H21" s="299" t="str">
        <f>M134</f>
        <v>Melbourne-Hamburg</v>
      </c>
      <c r="I21" s="299">
        <v>12</v>
      </c>
      <c r="J21" s="299">
        <v>138</v>
      </c>
      <c r="L21" s="85" t="s">
        <v>99</v>
      </c>
      <c r="M21" s="85">
        <v>0</v>
      </c>
      <c r="N21" s="85">
        <v>0</v>
      </c>
    </row>
    <row r="22" spans="1:17" ht="13.15" customHeight="1" x14ac:dyDescent="0.35">
      <c r="F22" s="50" t="s">
        <v>52</v>
      </c>
      <c r="G22" s="50" t="s">
        <v>21</v>
      </c>
      <c r="H22" s="299" t="str">
        <f>M146</f>
        <v>Nagoya-Melbourne</v>
      </c>
      <c r="I22" s="299">
        <v>13</v>
      </c>
      <c r="J22" s="299">
        <v>150</v>
      </c>
      <c r="L22" s="85" t="s">
        <v>100</v>
      </c>
      <c r="M22" s="85" t="s">
        <v>103</v>
      </c>
      <c r="N22" s="85" t="s">
        <v>104</v>
      </c>
    </row>
    <row r="23" spans="1:17" ht="13.15" customHeight="1" x14ac:dyDescent="0.35">
      <c r="F23" s="50" t="s">
        <v>64</v>
      </c>
      <c r="G23" s="50" t="s">
        <v>21</v>
      </c>
      <c r="H23" s="299" t="str">
        <f>M158</f>
        <v>New York-Melbourne</v>
      </c>
      <c r="I23" s="299">
        <v>14</v>
      </c>
      <c r="J23" s="299">
        <v>162</v>
      </c>
      <c r="L23" s="85" t="s">
        <v>31</v>
      </c>
      <c r="M23" s="85">
        <v>33</v>
      </c>
    </row>
    <row r="24" spans="1:17" ht="13.15" customHeight="1" x14ac:dyDescent="0.35">
      <c r="F24" s="50" t="s">
        <v>74</v>
      </c>
      <c r="G24" s="50" t="s">
        <v>21</v>
      </c>
      <c r="H24" s="299" t="str">
        <f>M170</f>
        <v>Rio De Janeiro-Melbourne</v>
      </c>
      <c r="I24" s="299">
        <v>15</v>
      </c>
      <c r="J24" s="299">
        <v>174</v>
      </c>
    </row>
    <row r="25" spans="1:17" ht="13.15" customHeight="1" x14ac:dyDescent="0.35">
      <c r="F25" s="50" t="s">
        <v>69</v>
      </c>
      <c r="G25" s="50" t="s">
        <v>21</v>
      </c>
      <c r="H25" s="299" t="str">
        <f>M182</f>
        <v>Santiagos-Melbourne</v>
      </c>
      <c r="I25" s="299">
        <v>16</v>
      </c>
      <c r="J25" s="299">
        <v>186</v>
      </c>
      <c r="L25" s="85" t="s">
        <v>92</v>
      </c>
      <c r="M25" s="85" t="s">
        <v>106</v>
      </c>
    </row>
    <row r="26" spans="1:17" ht="13.15" customHeight="1" x14ac:dyDescent="0.35">
      <c r="F26" s="50" t="s">
        <v>16</v>
      </c>
      <c r="G26" s="50" t="s">
        <v>21</v>
      </c>
      <c r="H26" s="299" t="str">
        <f>M194</f>
        <v>Shanghai-Melbourne</v>
      </c>
      <c r="I26" s="299">
        <v>17</v>
      </c>
      <c r="J26" s="299">
        <v>198</v>
      </c>
      <c r="L26" s="85" t="s">
        <v>2</v>
      </c>
      <c r="M26" s="85" t="s">
        <v>41</v>
      </c>
    </row>
    <row r="27" spans="1:17" ht="13.15" customHeight="1" x14ac:dyDescent="0.35">
      <c r="F27" s="50" t="s">
        <v>56</v>
      </c>
      <c r="G27" s="50" t="s">
        <v>21</v>
      </c>
      <c r="H27" s="299" t="str">
        <f>M206</f>
        <v>St.Petersburg-Melbourne</v>
      </c>
      <c r="I27" s="299">
        <v>18</v>
      </c>
      <c r="J27" s="299">
        <v>210</v>
      </c>
      <c r="L27" s="85" t="s">
        <v>7</v>
      </c>
      <c r="M27" s="85" t="s">
        <v>42</v>
      </c>
      <c r="N27" s="85" t="s">
        <v>43</v>
      </c>
      <c r="O27" s="85" t="s">
        <v>44</v>
      </c>
      <c r="P27" s="85" t="s">
        <v>45</v>
      </c>
    </row>
    <row r="28" spans="1:17" ht="13.15" customHeight="1" x14ac:dyDescent="0.35">
      <c r="L28" s="85" t="s">
        <v>12</v>
      </c>
      <c r="M28" s="85" t="s">
        <v>18</v>
      </c>
      <c r="N28" s="85" t="s">
        <v>19</v>
      </c>
      <c r="O28" s="85" t="s">
        <v>20</v>
      </c>
      <c r="P28" s="85" t="s">
        <v>21</v>
      </c>
    </row>
    <row r="29" spans="1:17" ht="13.15" customHeight="1" x14ac:dyDescent="0.35">
      <c r="L29" s="85" t="s">
        <v>87</v>
      </c>
      <c r="M29" s="85" t="s">
        <v>88</v>
      </c>
      <c r="N29" s="85" t="s">
        <v>89</v>
      </c>
      <c r="O29" s="85" t="s">
        <v>90</v>
      </c>
      <c r="P29" s="85" t="s">
        <v>91</v>
      </c>
      <c r="Q29" s="85" t="s">
        <v>91</v>
      </c>
    </row>
    <row r="30" spans="1:17" ht="13.15" customHeight="1" x14ac:dyDescent="0.25">
      <c r="F30" s="1"/>
      <c r="G30" s="1"/>
      <c r="P30" s="85" t="s">
        <v>94</v>
      </c>
      <c r="Q30" s="85" t="s">
        <v>95</v>
      </c>
    </row>
    <row r="31" spans="1:17" ht="13.15" customHeight="1" x14ac:dyDescent="0.25">
      <c r="F31" s="1"/>
      <c r="G31" s="1"/>
      <c r="L31" s="85" t="s">
        <v>97</v>
      </c>
      <c r="M31" s="85">
        <v>1093</v>
      </c>
      <c r="N31" s="85">
        <v>2008</v>
      </c>
      <c r="O31" s="85">
        <v>2273</v>
      </c>
      <c r="P31" s="85">
        <v>158</v>
      </c>
      <c r="Q31" s="85">
        <v>140</v>
      </c>
    </row>
    <row r="32" spans="1:17" ht="13.15" customHeight="1" x14ac:dyDescent="0.25">
      <c r="F32" s="1"/>
      <c r="G32" s="1"/>
      <c r="L32" s="85" t="s">
        <v>98</v>
      </c>
      <c r="M32" s="85">
        <v>1180</v>
      </c>
      <c r="N32" s="85">
        <v>2168</v>
      </c>
      <c r="O32" s="85">
        <v>2454</v>
      </c>
      <c r="P32" s="85">
        <v>171</v>
      </c>
      <c r="Q32" s="85">
        <v>151</v>
      </c>
    </row>
    <row r="33" spans="6:17" ht="13.15" customHeight="1" x14ac:dyDescent="0.25">
      <c r="F33" s="1"/>
      <c r="G33" s="1"/>
      <c r="L33" s="85" t="s">
        <v>99</v>
      </c>
      <c r="M33" s="85">
        <v>0</v>
      </c>
      <c r="N33" s="85">
        <v>0</v>
      </c>
    </row>
    <row r="34" spans="6:17" ht="13.15" customHeight="1" x14ac:dyDescent="0.25">
      <c r="F34" s="1"/>
      <c r="G34" s="1"/>
      <c r="L34" s="85" t="s">
        <v>100</v>
      </c>
      <c r="M34" s="85" t="s">
        <v>103</v>
      </c>
      <c r="N34" s="85" t="s">
        <v>104</v>
      </c>
    </row>
    <row r="35" spans="6:17" ht="13.15" customHeight="1" x14ac:dyDescent="0.25">
      <c r="F35" s="1"/>
      <c r="G35" s="1"/>
      <c r="L35" s="85" t="s">
        <v>31</v>
      </c>
      <c r="M35" s="85">
        <v>32</v>
      </c>
    </row>
    <row r="36" spans="6:17" ht="13.15" customHeight="1" x14ac:dyDescent="0.25">
      <c r="F36" s="1"/>
      <c r="G36" s="1"/>
    </row>
    <row r="37" spans="6:17" ht="13.15" customHeight="1" x14ac:dyDescent="0.25">
      <c r="F37" s="1"/>
      <c r="G37" s="1"/>
      <c r="L37" s="85" t="s">
        <v>92</v>
      </c>
      <c r="M37" s="85" t="s">
        <v>107</v>
      </c>
    </row>
    <row r="38" spans="6:17" ht="13.15" customHeight="1" x14ac:dyDescent="0.25">
      <c r="F38" s="1"/>
      <c r="G38" s="1"/>
      <c r="L38" s="85" t="s">
        <v>2</v>
      </c>
      <c r="M38" s="85" t="s">
        <v>48</v>
      </c>
    </row>
    <row r="39" spans="6:17" ht="13.15" customHeight="1" x14ac:dyDescent="0.25">
      <c r="F39" s="1"/>
      <c r="G39" s="1"/>
      <c r="L39" s="85" t="s">
        <v>7</v>
      </c>
      <c r="M39" s="85" t="s">
        <v>18</v>
      </c>
      <c r="N39" s="85" t="s">
        <v>19</v>
      </c>
      <c r="O39" s="85" t="s">
        <v>20</v>
      </c>
      <c r="P39" s="85" t="s">
        <v>21</v>
      </c>
    </row>
    <row r="40" spans="6:17" ht="13.15" customHeight="1" x14ac:dyDescent="0.25">
      <c r="F40" s="1"/>
      <c r="G40" s="1"/>
      <c r="L40" s="85" t="s">
        <v>12</v>
      </c>
      <c r="M40" s="85" t="s">
        <v>49</v>
      </c>
      <c r="N40" s="85" t="s">
        <v>50</v>
      </c>
      <c r="O40" s="85" t="s">
        <v>51</v>
      </c>
      <c r="P40" s="85" t="s">
        <v>52</v>
      </c>
    </row>
    <row r="41" spans="6:17" ht="13.15" customHeight="1" x14ac:dyDescent="0.35">
      <c r="L41" s="85" t="s">
        <v>87</v>
      </c>
      <c r="M41" s="85" t="s">
        <v>88</v>
      </c>
      <c r="N41" s="85" t="s">
        <v>89</v>
      </c>
      <c r="O41" s="85" t="s">
        <v>90</v>
      </c>
      <c r="P41" s="85" t="s">
        <v>91</v>
      </c>
      <c r="Q41" s="85" t="s">
        <v>91</v>
      </c>
    </row>
    <row r="42" spans="6:17" ht="13.15" customHeight="1" x14ac:dyDescent="0.35">
      <c r="P42" s="85" t="s">
        <v>94</v>
      </c>
      <c r="Q42" s="85" t="s">
        <v>95</v>
      </c>
    </row>
    <row r="43" spans="6:17" ht="13.15" customHeight="1" x14ac:dyDescent="0.35">
      <c r="L43" s="85" t="s">
        <v>97</v>
      </c>
      <c r="M43" s="85">
        <v>1417</v>
      </c>
      <c r="N43" s="85">
        <v>2483</v>
      </c>
      <c r="O43" s="85">
        <v>3492</v>
      </c>
      <c r="P43" s="85">
        <v>138</v>
      </c>
      <c r="Q43" s="85">
        <v>147</v>
      </c>
    </row>
    <row r="44" spans="6:17" ht="13.15" customHeight="1" x14ac:dyDescent="0.35">
      <c r="L44" s="85" t="s">
        <v>98</v>
      </c>
      <c r="M44" s="85">
        <v>1532</v>
      </c>
      <c r="N44" s="85">
        <v>2682</v>
      </c>
      <c r="O44" s="85">
        <v>3770</v>
      </c>
      <c r="P44" s="85">
        <v>150</v>
      </c>
      <c r="Q44" s="85">
        <v>159</v>
      </c>
    </row>
    <row r="45" spans="6:17" ht="13.15" customHeight="1" x14ac:dyDescent="0.35">
      <c r="L45" s="85" t="s">
        <v>99</v>
      </c>
      <c r="M45" s="85">
        <v>0</v>
      </c>
      <c r="N45" s="85">
        <v>0</v>
      </c>
    </row>
    <row r="46" spans="6:17" ht="13.15" customHeight="1" x14ac:dyDescent="0.35">
      <c r="L46" s="85" t="s">
        <v>100</v>
      </c>
      <c r="M46" s="85" t="s">
        <v>103</v>
      </c>
      <c r="N46" s="85" t="s">
        <v>104</v>
      </c>
    </row>
    <row r="47" spans="6:17" ht="13.15" customHeight="1" x14ac:dyDescent="0.35">
      <c r="L47" s="85" t="s">
        <v>31</v>
      </c>
      <c r="M47" s="85">
        <v>14</v>
      </c>
    </row>
    <row r="49" spans="12:17" ht="13.15" customHeight="1" x14ac:dyDescent="0.35">
      <c r="L49" s="85" t="s">
        <v>92</v>
      </c>
      <c r="M49" s="85" t="s">
        <v>107</v>
      </c>
    </row>
    <row r="50" spans="12:17" ht="13.15" customHeight="1" x14ac:dyDescent="0.35">
      <c r="L50" s="85" t="s">
        <v>2</v>
      </c>
      <c r="M50" s="85" t="s">
        <v>57</v>
      </c>
    </row>
    <row r="51" spans="12:17" ht="13.15" customHeight="1" x14ac:dyDescent="0.35">
      <c r="L51" s="85" t="s">
        <v>7</v>
      </c>
      <c r="M51" s="85" t="s">
        <v>18</v>
      </c>
      <c r="N51" s="85" t="s">
        <v>19</v>
      </c>
      <c r="O51" s="85" t="s">
        <v>20</v>
      </c>
      <c r="P51" s="85" t="s">
        <v>21</v>
      </c>
    </row>
    <row r="52" spans="12:17" ht="13.15" customHeight="1" x14ac:dyDescent="0.35">
      <c r="L52" s="85" t="s">
        <v>12</v>
      </c>
      <c r="M52" s="85" t="s">
        <v>42</v>
      </c>
      <c r="N52" s="85" t="s">
        <v>43</v>
      </c>
      <c r="O52" s="85" t="s">
        <v>44</v>
      </c>
      <c r="P52" s="85" t="s">
        <v>45</v>
      </c>
    </row>
    <row r="53" spans="12:17" ht="13.15" customHeight="1" x14ac:dyDescent="0.35">
      <c r="L53" s="85" t="s">
        <v>87</v>
      </c>
      <c r="M53" s="85" t="s">
        <v>88</v>
      </c>
      <c r="N53" s="85" t="s">
        <v>89</v>
      </c>
      <c r="O53" s="85" t="s">
        <v>90</v>
      </c>
      <c r="P53" s="85" t="s">
        <v>91</v>
      </c>
      <c r="Q53" s="85" t="s">
        <v>91</v>
      </c>
    </row>
    <row r="54" spans="12:17" ht="13.15" customHeight="1" x14ac:dyDescent="0.35">
      <c r="P54" s="85" t="s">
        <v>94</v>
      </c>
      <c r="Q54" s="85" t="s">
        <v>95</v>
      </c>
    </row>
    <row r="55" spans="12:17" ht="13.15" customHeight="1" x14ac:dyDescent="0.35">
      <c r="L55" s="85" t="s">
        <v>97</v>
      </c>
      <c r="M55" s="85">
        <v>1746</v>
      </c>
      <c r="N55" s="85">
        <v>3212</v>
      </c>
      <c r="O55" s="85">
        <v>3636</v>
      </c>
      <c r="P55" s="85">
        <v>252</v>
      </c>
      <c r="Q55" s="85">
        <v>223</v>
      </c>
    </row>
    <row r="56" spans="12:17" ht="13.15" customHeight="1" x14ac:dyDescent="0.35">
      <c r="L56" s="85" t="s">
        <v>98</v>
      </c>
      <c r="M56" s="85">
        <v>1885</v>
      </c>
      <c r="N56" s="85">
        <v>3468</v>
      </c>
      <c r="O56" s="85">
        <v>3927</v>
      </c>
      <c r="P56" s="85">
        <v>273</v>
      </c>
      <c r="Q56" s="85">
        <v>241</v>
      </c>
    </row>
    <row r="57" spans="12:17" ht="13.15" customHeight="1" x14ac:dyDescent="0.35">
      <c r="L57" s="85" t="s">
        <v>99</v>
      </c>
      <c r="M57" s="85">
        <v>0</v>
      </c>
      <c r="N57" s="85">
        <v>0</v>
      </c>
    </row>
    <row r="58" spans="12:17" ht="13.15" customHeight="1" x14ac:dyDescent="0.35">
      <c r="L58" s="85" t="s">
        <v>100</v>
      </c>
      <c r="M58" s="85" t="s">
        <v>103</v>
      </c>
      <c r="N58" s="85" t="s">
        <v>104</v>
      </c>
    </row>
    <row r="59" spans="12:17" ht="13.15" customHeight="1" x14ac:dyDescent="0.35">
      <c r="L59" s="85" t="s">
        <v>31</v>
      </c>
      <c r="M59" s="85">
        <v>32</v>
      </c>
    </row>
    <row r="61" spans="12:17" ht="13.15" customHeight="1" x14ac:dyDescent="0.35">
      <c r="L61" s="85" t="s">
        <v>92</v>
      </c>
      <c r="M61" s="85" t="s">
        <v>107</v>
      </c>
    </row>
    <row r="62" spans="12:17" ht="13.15" customHeight="1" x14ac:dyDescent="0.35">
      <c r="L62" s="85" t="s">
        <v>2</v>
      </c>
      <c r="M62" s="85" t="s">
        <v>59</v>
      </c>
    </row>
    <row r="63" spans="12:17" ht="13.15" customHeight="1" x14ac:dyDescent="0.35">
      <c r="L63" s="85" t="s">
        <v>7</v>
      </c>
      <c r="M63" s="85" t="s">
        <v>18</v>
      </c>
      <c r="N63" s="85" t="s">
        <v>19</v>
      </c>
      <c r="O63" s="85" t="s">
        <v>20</v>
      </c>
      <c r="P63" s="85" t="s">
        <v>21</v>
      </c>
    </row>
    <row r="64" spans="12:17" ht="13.15" customHeight="1" x14ac:dyDescent="0.35">
      <c r="L64" s="85" t="s">
        <v>12</v>
      </c>
      <c r="M64" s="85" t="s">
        <v>8</v>
      </c>
      <c r="N64" s="85" t="s">
        <v>9</v>
      </c>
      <c r="O64" s="85" t="s">
        <v>10</v>
      </c>
      <c r="P64" s="85" t="s">
        <v>11</v>
      </c>
    </row>
    <row r="65" spans="12:17" ht="13.15" customHeight="1" x14ac:dyDescent="0.35">
      <c r="L65" s="85" t="s">
        <v>87</v>
      </c>
      <c r="M65" s="85" t="s">
        <v>88</v>
      </c>
      <c r="N65" s="85" t="s">
        <v>89</v>
      </c>
      <c r="O65" s="85" t="s">
        <v>90</v>
      </c>
      <c r="P65" s="85" t="s">
        <v>91</v>
      </c>
      <c r="Q65" s="85" t="s">
        <v>91</v>
      </c>
    </row>
    <row r="66" spans="12:17" ht="13.15" customHeight="1" x14ac:dyDescent="0.35">
      <c r="P66" s="85" t="s">
        <v>94</v>
      </c>
      <c r="Q66" s="85" t="s">
        <v>95</v>
      </c>
    </row>
    <row r="67" spans="12:17" ht="13.15" customHeight="1" x14ac:dyDescent="0.35">
      <c r="L67" s="85" t="s">
        <v>97</v>
      </c>
      <c r="M67" s="85">
        <v>1570</v>
      </c>
      <c r="N67" s="85">
        <v>2802</v>
      </c>
      <c r="O67" s="85">
        <v>3653</v>
      </c>
      <c r="P67" s="85">
        <v>158</v>
      </c>
      <c r="Q67" s="85">
        <v>147</v>
      </c>
    </row>
    <row r="68" spans="12:17" ht="13.15" customHeight="1" x14ac:dyDescent="0.35">
      <c r="L68" s="85" t="s">
        <v>98</v>
      </c>
      <c r="M68" s="85">
        <v>1694</v>
      </c>
      <c r="N68" s="85">
        <v>3027</v>
      </c>
      <c r="O68" s="85">
        <v>3944</v>
      </c>
      <c r="P68" s="85">
        <v>170</v>
      </c>
      <c r="Q68" s="85">
        <v>159</v>
      </c>
    </row>
    <row r="69" spans="12:17" ht="13.15" customHeight="1" x14ac:dyDescent="0.35">
      <c r="L69" s="85" t="s">
        <v>99</v>
      </c>
      <c r="M69" s="85">
        <v>0</v>
      </c>
      <c r="N69" s="85">
        <v>0</v>
      </c>
    </row>
    <row r="70" spans="12:17" ht="13.15" customHeight="1" x14ac:dyDescent="0.35">
      <c r="L70" s="85" t="s">
        <v>100</v>
      </c>
      <c r="M70" s="85" t="s">
        <v>103</v>
      </c>
      <c r="N70" s="85" t="s">
        <v>104</v>
      </c>
    </row>
    <row r="71" spans="12:17" ht="13.15" customHeight="1" x14ac:dyDescent="0.35">
      <c r="L71" s="85" t="s">
        <v>31</v>
      </c>
      <c r="M71" s="85">
        <v>17</v>
      </c>
    </row>
    <row r="73" spans="12:17" ht="13.15" customHeight="1" x14ac:dyDescent="0.35">
      <c r="L73" s="85" t="s">
        <v>92</v>
      </c>
      <c r="M73" s="85" t="s">
        <v>107</v>
      </c>
    </row>
    <row r="74" spans="12:17" ht="13.15" customHeight="1" x14ac:dyDescent="0.35">
      <c r="L74" s="85" t="s">
        <v>2</v>
      </c>
      <c r="M74" s="85" t="s">
        <v>60</v>
      </c>
    </row>
    <row r="75" spans="12:17" ht="13.15" customHeight="1" x14ac:dyDescent="0.35">
      <c r="L75" s="85" t="s">
        <v>7</v>
      </c>
      <c r="M75" s="85" t="s">
        <v>18</v>
      </c>
      <c r="N75" s="85" t="s">
        <v>19</v>
      </c>
      <c r="O75" s="85" t="s">
        <v>20</v>
      </c>
      <c r="P75" s="85" t="s">
        <v>21</v>
      </c>
    </row>
    <row r="76" spans="12:17" ht="13.15" customHeight="1" x14ac:dyDescent="0.35">
      <c r="L76" s="85" t="s">
        <v>12</v>
      </c>
      <c r="M76" s="85" t="s">
        <v>61</v>
      </c>
      <c r="N76" s="85" t="s">
        <v>62</v>
      </c>
      <c r="O76" s="85" t="s">
        <v>63</v>
      </c>
      <c r="P76" s="85" t="s">
        <v>64</v>
      </c>
    </row>
    <row r="77" spans="12:17" ht="13.15" customHeight="1" x14ac:dyDescent="0.35">
      <c r="L77" s="85" t="s">
        <v>87</v>
      </c>
      <c r="M77" s="85" t="s">
        <v>88</v>
      </c>
      <c r="N77" s="85" t="s">
        <v>89</v>
      </c>
      <c r="O77" s="85" t="s">
        <v>90</v>
      </c>
      <c r="P77" s="85" t="s">
        <v>91</v>
      </c>
      <c r="Q77" s="85" t="s">
        <v>91</v>
      </c>
    </row>
    <row r="78" spans="12:17" ht="13.15" customHeight="1" x14ac:dyDescent="0.35">
      <c r="P78" s="85" t="s">
        <v>94</v>
      </c>
      <c r="Q78" s="85" t="s">
        <v>95</v>
      </c>
    </row>
    <row r="79" spans="12:17" ht="13.15" customHeight="1" x14ac:dyDescent="0.35">
      <c r="L79" s="85" t="s">
        <v>97</v>
      </c>
      <c r="M79" s="85">
        <v>1730</v>
      </c>
      <c r="N79" s="85">
        <v>3212</v>
      </c>
      <c r="O79" s="85">
        <v>3653</v>
      </c>
      <c r="P79" s="85">
        <v>187</v>
      </c>
      <c r="Q79" s="85">
        <v>172</v>
      </c>
    </row>
    <row r="80" spans="12:17" ht="13.15" customHeight="1" x14ac:dyDescent="0.35">
      <c r="L80" s="85" t="s">
        <v>98</v>
      </c>
      <c r="M80" s="85">
        <v>1867</v>
      </c>
      <c r="N80" s="85">
        <v>3468</v>
      </c>
      <c r="O80" s="85">
        <v>3944</v>
      </c>
      <c r="P80" s="85">
        <v>201</v>
      </c>
      <c r="Q80" s="85">
        <v>187</v>
      </c>
    </row>
    <row r="81" spans="12:17" ht="13.15" customHeight="1" x14ac:dyDescent="0.35">
      <c r="L81" s="85" t="s">
        <v>99</v>
      </c>
      <c r="M81" s="85">
        <v>0</v>
      </c>
      <c r="N81" s="85">
        <v>0</v>
      </c>
    </row>
    <row r="82" spans="12:17" ht="13.15" customHeight="1" x14ac:dyDescent="0.35">
      <c r="L82" s="85" t="s">
        <v>100</v>
      </c>
      <c r="M82" s="85" t="s">
        <v>103</v>
      </c>
      <c r="N82" s="85" t="s">
        <v>104</v>
      </c>
    </row>
    <row r="83" spans="12:17" ht="13.15" customHeight="1" x14ac:dyDescent="0.35">
      <c r="L83" s="85" t="s">
        <v>31</v>
      </c>
      <c r="M83" s="85">
        <v>29</v>
      </c>
    </row>
    <row r="85" spans="12:17" ht="13.15" customHeight="1" x14ac:dyDescent="0.35">
      <c r="L85" s="85" t="s">
        <v>92</v>
      </c>
      <c r="M85" s="85" t="s">
        <v>107</v>
      </c>
    </row>
    <row r="86" spans="12:17" ht="13.15" customHeight="1" x14ac:dyDescent="0.35">
      <c r="L86" s="85" t="s">
        <v>2</v>
      </c>
      <c r="M86" s="85" t="s">
        <v>65</v>
      </c>
    </row>
    <row r="87" spans="12:17" ht="13.15" customHeight="1" x14ac:dyDescent="0.35">
      <c r="L87" s="85" t="s">
        <v>7</v>
      </c>
      <c r="M87" s="85" t="s">
        <v>18</v>
      </c>
      <c r="N87" s="85" t="s">
        <v>19</v>
      </c>
      <c r="O87" s="85" t="s">
        <v>20</v>
      </c>
      <c r="P87" s="85" t="s">
        <v>21</v>
      </c>
    </row>
    <row r="88" spans="12:17" ht="13.15" customHeight="1" x14ac:dyDescent="0.35">
      <c r="L88" s="85" t="s">
        <v>12</v>
      </c>
      <c r="M88" s="85" t="s">
        <v>66</v>
      </c>
      <c r="N88" s="85" t="s">
        <v>67</v>
      </c>
      <c r="O88" s="85" t="s">
        <v>68</v>
      </c>
      <c r="P88" s="85" t="s">
        <v>69</v>
      </c>
    </row>
    <row r="89" spans="12:17" ht="13.15" customHeight="1" x14ac:dyDescent="0.35">
      <c r="L89" s="85" t="s">
        <v>87</v>
      </c>
      <c r="M89" s="85" t="s">
        <v>88</v>
      </c>
      <c r="N89" s="85" t="s">
        <v>89</v>
      </c>
      <c r="O89" s="85" t="s">
        <v>90</v>
      </c>
      <c r="P89" s="85" t="s">
        <v>91</v>
      </c>
      <c r="Q89" s="85" t="s">
        <v>91</v>
      </c>
    </row>
    <row r="90" spans="12:17" ht="13.15" customHeight="1" x14ac:dyDescent="0.35">
      <c r="P90" s="85" t="s">
        <v>94</v>
      </c>
      <c r="Q90" s="85" t="s">
        <v>95</v>
      </c>
    </row>
    <row r="91" spans="12:17" ht="13.15" customHeight="1" x14ac:dyDescent="0.35">
      <c r="L91" s="85" t="s">
        <v>97</v>
      </c>
      <c r="M91" s="85">
        <v>1682</v>
      </c>
      <c r="N91" s="85">
        <v>2964</v>
      </c>
      <c r="O91" s="85">
        <v>3332</v>
      </c>
      <c r="P91" s="85">
        <v>206</v>
      </c>
      <c r="Q91" s="85">
        <v>191</v>
      </c>
    </row>
    <row r="92" spans="12:17" ht="13.15" customHeight="1" x14ac:dyDescent="0.35">
      <c r="L92" s="85" t="s">
        <v>98</v>
      </c>
      <c r="M92" s="85">
        <v>1817</v>
      </c>
      <c r="N92" s="85">
        <v>3200</v>
      </c>
      <c r="O92" s="85">
        <v>3598</v>
      </c>
      <c r="P92" s="85">
        <v>220</v>
      </c>
      <c r="Q92" s="85">
        <v>206</v>
      </c>
    </row>
    <row r="93" spans="12:17" ht="13.15" customHeight="1" x14ac:dyDescent="0.35">
      <c r="L93" s="85" t="s">
        <v>99</v>
      </c>
      <c r="M93" s="85">
        <v>0</v>
      </c>
      <c r="N93" s="85">
        <v>0</v>
      </c>
    </row>
    <row r="94" spans="12:17" ht="13.15" customHeight="1" x14ac:dyDescent="0.35">
      <c r="L94" s="85" t="s">
        <v>100</v>
      </c>
      <c r="M94" s="85" t="s">
        <v>103</v>
      </c>
      <c r="N94" s="85" t="s">
        <v>104</v>
      </c>
    </row>
    <row r="95" spans="12:17" ht="13.15" customHeight="1" x14ac:dyDescent="0.35">
      <c r="L95" s="85" t="s">
        <v>31</v>
      </c>
      <c r="M95" s="85">
        <v>25</v>
      </c>
    </row>
    <row r="97" spans="12:17" ht="13.15" customHeight="1" x14ac:dyDescent="0.35">
      <c r="L97" s="85" t="s">
        <v>92</v>
      </c>
      <c r="M97" s="85" t="s">
        <v>107</v>
      </c>
    </row>
    <row r="98" spans="12:17" ht="13.15" customHeight="1" x14ac:dyDescent="0.35">
      <c r="L98" s="85" t="s">
        <v>2</v>
      </c>
      <c r="M98" s="85" t="s">
        <v>70</v>
      </c>
    </row>
    <row r="99" spans="12:17" ht="13.15" customHeight="1" x14ac:dyDescent="0.35">
      <c r="L99" s="85" t="s">
        <v>7</v>
      </c>
      <c r="M99" s="85" t="s">
        <v>18</v>
      </c>
      <c r="N99" s="85" t="s">
        <v>19</v>
      </c>
      <c r="O99" s="85" t="s">
        <v>20</v>
      </c>
      <c r="P99" s="85" t="s">
        <v>21</v>
      </c>
    </row>
    <row r="100" spans="12:17" ht="13.15" customHeight="1" x14ac:dyDescent="0.35">
      <c r="L100" s="85" t="s">
        <v>12</v>
      </c>
      <c r="M100" s="85" t="s">
        <v>71</v>
      </c>
      <c r="N100" s="85" t="s">
        <v>72</v>
      </c>
      <c r="O100" s="85" t="s">
        <v>73</v>
      </c>
      <c r="P100" s="85" t="s">
        <v>74</v>
      </c>
    </row>
    <row r="101" spans="12:17" ht="13.15" customHeight="1" x14ac:dyDescent="0.35">
      <c r="L101" s="85" t="s">
        <v>87</v>
      </c>
      <c r="M101" s="85" t="s">
        <v>88</v>
      </c>
      <c r="N101" s="85" t="s">
        <v>89</v>
      </c>
      <c r="O101" s="85" t="s">
        <v>90</v>
      </c>
      <c r="P101" s="85" t="s">
        <v>91</v>
      </c>
      <c r="Q101" s="85" t="s">
        <v>91</v>
      </c>
    </row>
    <row r="102" spans="12:17" ht="13.15" customHeight="1" x14ac:dyDescent="0.35">
      <c r="P102" s="85" t="s">
        <v>94</v>
      </c>
      <c r="Q102" s="85" t="s">
        <v>95</v>
      </c>
    </row>
    <row r="103" spans="12:17" ht="13.15" customHeight="1" x14ac:dyDescent="0.35">
      <c r="L103" s="85" t="s">
        <v>97</v>
      </c>
      <c r="M103" s="85">
        <v>1577</v>
      </c>
      <c r="N103" s="85">
        <v>2642</v>
      </c>
      <c r="O103" s="85">
        <v>2810</v>
      </c>
      <c r="P103" s="85">
        <v>214</v>
      </c>
      <c r="Q103" s="85">
        <v>200</v>
      </c>
    </row>
    <row r="104" spans="12:17" ht="13.15" customHeight="1" x14ac:dyDescent="0.35">
      <c r="L104" s="85" t="s">
        <v>98</v>
      </c>
      <c r="M104" s="85">
        <v>1705</v>
      </c>
      <c r="N104" s="85">
        <v>2854</v>
      </c>
      <c r="O104" s="85">
        <v>3035</v>
      </c>
      <c r="P104" s="85">
        <v>230</v>
      </c>
      <c r="Q104" s="85">
        <v>216</v>
      </c>
    </row>
    <row r="105" spans="12:17" ht="13.15" customHeight="1" x14ac:dyDescent="0.35">
      <c r="L105" s="85" t="s">
        <v>99</v>
      </c>
      <c r="M105" s="85">
        <v>0</v>
      </c>
      <c r="N105" s="85">
        <v>0</v>
      </c>
    </row>
    <row r="106" spans="12:17" ht="13.15" customHeight="1" x14ac:dyDescent="0.35">
      <c r="L106" s="85" t="s">
        <v>100</v>
      </c>
      <c r="M106" s="85" t="s">
        <v>103</v>
      </c>
      <c r="N106" s="85" t="s">
        <v>104</v>
      </c>
    </row>
    <row r="107" spans="12:17" ht="13.15" customHeight="1" x14ac:dyDescent="0.35">
      <c r="L107" s="85" t="s">
        <v>31</v>
      </c>
      <c r="M107" s="85">
        <v>23</v>
      </c>
    </row>
    <row r="109" spans="12:17" ht="13.15" customHeight="1" x14ac:dyDescent="0.35">
      <c r="L109" s="85" t="s">
        <v>92</v>
      </c>
      <c r="M109" s="85" t="s">
        <v>107</v>
      </c>
    </row>
    <row r="110" spans="12:17" ht="13.15" customHeight="1" x14ac:dyDescent="0.35">
      <c r="L110" s="85" t="s">
        <v>2</v>
      </c>
      <c r="M110" s="85" t="s">
        <v>47</v>
      </c>
    </row>
    <row r="111" spans="12:17" ht="13.15" customHeight="1" x14ac:dyDescent="0.35">
      <c r="L111" s="85" t="s">
        <v>7</v>
      </c>
      <c r="M111" s="85" t="s">
        <v>18</v>
      </c>
      <c r="N111" s="85" t="s">
        <v>19</v>
      </c>
      <c r="O111" s="85" t="s">
        <v>20</v>
      </c>
      <c r="P111" s="85" t="s">
        <v>21</v>
      </c>
    </row>
    <row r="112" spans="12:17" ht="13.15" customHeight="1" x14ac:dyDescent="0.35">
      <c r="L112" s="85" t="s">
        <v>12</v>
      </c>
      <c r="M112" s="85" t="s">
        <v>13</v>
      </c>
      <c r="N112" s="85" t="s">
        <v>14</v>
      </c>
      <c r="O112" s="85" t="s">
        <v>15</v>
      </c>
      <c r="P112" s="85" t="s">
        <v>16</v>
      </c>
    </row>
    <row r="113" spans="12:17" ht="13.15" customHeight="1" x14ac:dyDescent="0.35">
      <c r="L113" s="85" t="s">
        <v>87</v>
      </c>
      <c r="M113" s="85" t="s">
        <v>88</v>
      </c>
      <c r="N113" s="85" t="s">
        <v>89</v>
      </c>
      <c r="O113" s="85" t="s">
        <v>90</v>
      </c>
      <c r="P113" s="85" t="s">
        <v>91</v>
      </c>
      <c r="Q113" s="85" t="s">
        <v>91</v>
      </c>
    </row>
    <row r="114" spans="12:17" ht="13.15" customHeight="1" x14ac:dyDescent="0.35">
      <c r="P114" s="85" t="s">
        <v>94</v>
      </c>
      <c r="Q114" s="85" t="s">
        <v>95</v>
      </c>
    </row>
    <row r="115" spans="12:17" ht="13.15" customHeight="1" x14ac:dyDescent="0.35">
      <c r="L115" s="85" t="s">
        <v>97</v>
      </c>
      <c r="M115" s="85">
        <v>1450</v>
      </c>
      <c r="N115" s="85">
        <v>2971</v>
      </c>
      <c r="O115" s="85">
        <v>3051</v>
      </c>
      <c r="P115" s="85">
        <v>142</v>
      </c>
      <c r="Q115" s="85">
        <v>131</v>
      </c>
    </row>
    <row r="116" spans="12:17" ht="13.15" customHeight="1" x14ac:dyDescent="0.35">
      <c r="L116" s="85" t="s">
        <v>98</v>
      </c>
      <c r="M116" s="85">
        <v>1564</v>
      </c>
      <c r="N116" s="85">
        <v>3208</v>
      </c>
      <c r="O116" s="85">
        <v>3295</v>
      </c>
      <c r="P116" s="85">
        <v>152</v>
      </c>
      <c r="Q116" s="85">
        <v>159</v>
      </c>
    </row>
    <row r="117" spans="12:17" ht="13.15" customHeight="1" x14ac:dyDescent="0.35">
      <c r="L117" s="85" t="s">
        <v>99</v>
      </c>
      <c r="M117" s="85">
        <v>0</v>
      </c>
      <c r="N117" s="85">
        <v>0</v>
      </c>
    </row>
    <row r="118" spans="12:17" ht="13.15" customHeight="1" x14ac:dyDescent="0.35">
      <c r="L118" s="85" t="s">
        <v>100</v>
      </c>
      <c r="M118" s="85" t="s">
        <v>103</v>
      </c>
      <c r="N118" s="85" t="s">
        <v>104</v>
      </c>
    </row>
    <row r="119" spans="12:17" ht="13.15" customHeight="1" x14ac:dyDescent="0.35">
      <c r="L119" s="85" t="s">
        <v>31</v>
      </c>
      <c r="M119" s="85">
        <v>15</v>
      </c>
    </row>
    <row r="121" spans="12:17" ht="13.15" customHeight="1" x14ac:dyDescent="0.35">
      <c r="L121" s="85" t="s">
        <v>92</v>
      </c>
      <c r="M121" s="85" t="s">
        <v>107</v>
      </c>
    </row>
    <row r="122" spans="12:17" ht="13.15" customHeight="1" x14ac:dyDescent="0.35">
      <c r="L122" s="85" t="s">
        <v>2</v>
      </c>
      <c r="M122" s="85" t="s">
        <v>5</v>
      </c>
    </row>
    <row r="123" spans="12:17" ht="13.15" customHeight="1" x14ac:dyDescent="0.35">
      <c r="L123" s="85" t="s">
        <v>7</v>
      </c>
      <c r="M123" s="85" t="s">
        <v>18</v>
      </c>
      <c r="N123" s="85" t="s">
        <v>19</v>
      </c>
      <c r="O123" s="85" t="s">
        <v>20</v>
      </c>
      <c r="P123" s="85" t="s">
        <v>21</v>
      </c>
    </row>
    <row r="124" spans="12:17" ht="13.15" customHeight="1" x14ac:dyDescent="0.35">
      <c r="L124" s="85" t="s">
        <v>12</v>
      </c>
      <c r="M124" s="85" t="s">
        <v>53</v>
      </c>
      <c r="N124" s="85" t="s">
        <v>54</v>
      </c>
      <c r="O124" s="85" t="s">
        <v>55</v>
      </c>
      <c r="P124" s="85" t="s">
        <v>56</v>
      </c>
    </row>
    <row r="125" spans="12:17" ht="13.15" customHeight="1" x14ac:dyDescent="0.35">
      <c r="L125" s="85" t="s">
        <v>87</v>
      </c>
      <c r="M125" s="85" t="s">
        <v>88</v>
      </c>
      <c r="N125" s="85" t="s">
        <v>89</v>
      </c>
      <c r="O125" s="85" t="s">
        <v>90</v>
      </c>
      <c r="P125" s="85" t="s">
        <v>91</v>
      </c>
      <c r="Q125" s="85" t="s">
        <v>91</v>
      </c>
    </row>
    <row r="126" spans="12:17" ht="13.15" customHeight="1" x14ac:dyDescent="0.35">
      <c r="P126" s="85" t="s">
        <v>94</v>
      </c>
      <c r="Q126" s="85" t="s">
        <v>95</v>
      </c>
    </row>
    <row r="127" spans="12:17" ht="13.15" customHeight="1" x14ac:dyDescent="0.35">
      <c r="L127" s="85" t="s">
        <v>97</v>
      </c>
      <c r="M127" s="85">
        <v>2074</v>
      </c>
      <c r="N127" s="85">
        <v>3532</v>
      </c>
      <c r="O127" s="85">
        <v>3972</v>
      </c>
      <c r="P127" s="85">
        <v>220</v>
      </c>
      <c r="Q127" s="85">
        <v>218</v>
      </c>
    </row>
    <row r="128" spans="12:17" ht="13.15" customHeight="1" x14ac:dyDescent="0.35">
      <c r="L128" s="85" t="s">
        <v>98</v>
      </c>
      <c r="M128" s="85">
        <v>2239</v>
      </c>
      <c r="N128" s="85">
        <v>3814</v>
      </c>
      <c r="O128" s="85">
        <v>4289</v>
      </c>
      <c r="P128" s="85">
        <v>239</v>
      </c>
      <c r="Q128" s="85">
        <v>235</v>
      </c>
    </row>
    <row r="129" spans="12:17" ht="13.15" customHeight="1" x14ac:dyDescent="0.35">
      <c r="L129" s="85" t="s">
        <v>99</v>
      </c>
      <c r="M129" s="85">
        <v>0</v>
      </c>
      <c r="N129" s="85">
        <v>0</v>
      </c>
    </row>
    <row r="130" spans="12:17" ht="13.15" customHeight="1" x14ac:dyDescent="0.35">
      <c r="L130" s="85" t="s">
        <v>100</v>
      </c>
      <c r="M130" s="85" t="s">
        <v>103</v>
      </c>
      <c r="N130" s="85" t="s">
        <v>104</v>
      </c>
    </row>
    <row r="131" spans="12:17" ht="13.15" customHeight="1" x14ac:dyDescent="0.35">
      <c r="L131" s="85" t="s">
        <v>31</v>
      </c>
      <c r="M131" s="85">
        <v>36</v>
      </c>
    </row>
    <row r="133" spans="12:17" ht="13.15" customHeight="1" x14ac:dyDescent="0.35">
      <c r="L133" s="85" t="s">
        <v>92</v>
      </c>
      <c r="M133" s="85" t="s">
        <v>107</v>
      </c>
    </row>
    <row r="134" spans="12:17" ht="13.15" customHeight="1" x14ac:dyDescent="0.35">
      <c r="L134" s="85" t="s">
        <v>2</v>
      </c>
      <c r="M134" s="85" t="s">
        <v>58</v>
      </c>
    </row>
    <row r="135" spans="12:17" ht="13.15" customHeight="1" x14ac:dyDescent="0.35">
      <c r="L135" s="85" t="s">
        <v>7</v>
      </c>
      <c r="M135" s="85" t="s">
        <v>18</v>
      </c>
      <c r="N135" s="85" t="s">
        <v>19</v>
      </c>
      <c r="O135" s="85" t="s">
        <v>20</v>
      </c>
      <c r="P135" s="85" t="s">
        <v>21</v>
      </c>
    </row>
    <row r="136" spans="12:17" ht="13.15" customHeight="1" x14ac:dyDescent="0.35">
      <c r="L136" s="85" t="s">
        <v>12</v>
      </c>
      <c r="M136" s="85" t="s">
        <v>35</v>
      </c>
      <c r="N136" s="85" t="s">
        <v>36</v>
      </c>
      <c r="O136" s="85" t="s">
        <v>37</v>
      </c>
      <c r="P136" s="85" t="s">
        <v>38</v>
      </c>
    </row>
    <row r="137" spans="12:17" ht="13.15" customHeight="1" x14ac:dyDescent="0.35">
      <c r="L137" s="85" t="s">
        <v>87</v>
      </c>
      <c r="M137" s="85" t="s">
        <v>88</v>
      </c>
      <c r="N137" s="85" t="s">
        <v>89</v>
      </c>
      <c r="O137" s="85" t="s">
        <v>90</v>
      </c>
      <c r="P137" s="85" t="s">
        <v>91</v>
      </c>
      <c r="Q137" s="85" t="s">
        <v>91</v>
      </c>
    </row>
    <row r="138" spans="12:17" ht="13.15" customHeight="1" x14ac:dyDescent="0.35">
      <c r="P138" s="85" t="s">
        <v>94</v>
      </c>
      <c r="Q138" s="85" t="s">
        <v>95</v>
      </c>
    </row>
    <row r="139" spans="12:17" ht="13.15" customHeight="1" x14ac:dyDescent="0.35">
      <c r="L139" s="85" t="s">
        <v>97</v>
      </c>
      <c r="M139" s="85">
        <v>1914</v>
      </c>
      <c r="N139" s="85">
        <v>3372</v>
      </c>
      <c r="O139" s="85">
        <v>3812</v>
      </c>
      <c r="P139" s="85">
        <v>228</v>
      </c>
      <c r="Q139" s="85">
        <v>208</v>
      </c>
    </row>
    <row r="140" spans="12:17" ht="13.15" customHeight="1" x14ac:dyDescent="0.35">
      <c r="L140" s="85" t="s">
        <v>98</v>
      </c>
      <c r="M140" s="85">
        <v>2066</v>
      </c>
      <c r="N140" s="85">
        <v>3640</v>
      </c>
      <c r="O140" s="85">
        <v>4116</v>
      </c>
      <c r="P140" s="85">
        <v>247</v>
      </c>
      <c r="Q140" s="85">
        <v>225</v>
      </c>
    </row>
    <row r="141" spans="12:17" ht="13.15" customHeight="1" x14ac:dyDescent="0.35">
      <c r="L141" s="85" t="s">
        <v>99</v>
      </c>
      <c r="M141" s="85">
        <v>0</v>
      </c>
      <c r="N141" s="85">
        <v>0</v>
      </c>
    </row>
    <row r="142" spans="12:17" ht="13.15" customHeight="1" x14ac:dyDescent="0.35">
      <c r="L142" s="85" t="s">
        <v>100</v>
      </c>
      <c r="M142" s="85" t="s">
        <v>103</v>
      </c>
      <c r="N142" s="85" t="s">
        <v>104</v>
      </c>
    </row>
    <row r="143" spans="12:17" ht="13.15" customHeight="1" x14ac:dyDescent="0.35">
      <c r="L143" s="85" t="s">
        <v>31</v>
      </c>
      <c r="M143" s="85">
        <v>33</v>
      </c>
    </row>
    <row r="145" spans="12:17" ht="13.15" customHeight="1" x14ac:dyDescent="0.35">
      <c r="L145" s="85" t="s">
        <v>92</v>
      </c>
      <c r="M145" s="85" t="s">
        <v>108</v>
      </c>
    </row>
    <row r="146" spans="12:17" ht="13.15" customHeight="1" x14ac:dyDescent="0.35">
      <c r="L146" s="85" t="s">
        <v>2</v>
      </c>
      <c r="M146" s="85" t="s">
        <v>76</v>
      </c>
    </row>
    <row r="147" spans="12:17" ht="13.15" customHeight="1" x14ac:dyDescent="0.35">
      <c r="L147" s="85" t="s">
        <v>7</v>
      </c>
      <c r="M147" s="85" t="s">
        <v>49</v>
      </c>
      <c r="N147" s="85" t="s">
        <v>50</v>
      </c>
      <c r="O147" s="85" t="s">
        <v>51</v>
      </c>
      <c r="P147" s="85" t="s">
        <v>52</v>
      </c>
    </row>
    <row r="148" spans="12:17" ht="13.15" customHeight="1" x14ac:dyDescent="0.35">
      <c r="L148" s="85" t="s">
        <v>12</v>
      </c>
      <c r="M148" s="85" t="s">
        <v>18</v>
      </c>
      <c r="N148" s="85" t="s">
        <v>19</v>
      </c>
      <c r="O148" s="85" t="s">
        <v>20</v>
      </c>
      <c r="P148" s="85" t="s">
        <v>21</v>
      </c>
    </row>
    <row r="149" spans="12:17" ht="13.15" customHeight="1" x14ac:dyDescent="0.35">
      <c r="L149" s="85" t="s">
        <v>87</v>
      </c>
      <c r="M149" s="85" t="s">
        <v>88</v>
      </c>
      <c r="N149" s="85" t="s">
        <v>89</v>
      </c>
      <c r="O149" s="85" t="s">
        <v>90</v>
      </c>
      <c r="P149" s="85" t="s">
        <v>91</v>
      </c>
      <c r="Q149" s="85" t="s">
        <v>91</v>
      </c>
    </row>
    <row r="150" spans="12:17" ht="13.15" customHeight="1" x14ac:dyDescent="0.35">
      <c r="P150" s="85" t="s">
        <v>94</v>
      </c>
      <c r="Q150" s="85" t="s">
        <v>95</v>
      </c>
    </row>
    <row r="151" spans="12:17" ht="13.15" customHeight="1" x14ac:dyDescent="0.35">
      <c r="L151" s="85" t="s">
        <v>97</v>
      </c>
      <c r="M151" s="85">
        <v>1462</v>
      </c>
      <c r="N151" s="85">
        <v>2710</v>
      </c>
      <c r="O151" s="85">
        <v>3627</v>
      </c>
      <c r="P151" s="85">
        <v>137</v>
      </c>
      <c r="Q151" s="85">
        <v>145</v>
      </c>
    </row>
    <row r="152" spans="12:17" ht="13.15" customHeight="1" x14ac:dyDescent="0.35">
      <c r="L152" s="85" t="s">
        <v>98</v>
      </c>
      <c r="M152" s="85">
        <v>1579</v>
      </c>
      <c r="N152" s="85">
        <v>2929</v>
      </c>
      <c r="O152" s="85">
        <v>3916</v>
      </c>
      <c r="P152" s="85">
        <v>148</v>
      </c>
      <c r="Q152" s="85">
        <v>156</v>
      </c>
    </row>
    <row r="153" spans="12:17" ht="13.15" customHeight="1" x14ac:dyDescent="0.35">
      <c r="L153" s="85" t="s">
        <v>99</v>
      </c>
      <c r="M153" s="85">
        <v>0</v>
      </c>
      <c r="N153" s="85">
        <v>0</v>
      </c>
    </row>
    <row r="154" spans="12:17" ht="13.15" customHeight="1" x14ac:dyDescent="0.35">
      <c r="L154" s="85" t="s">
        <v>100</v>
      </c>
      <c r="M154" s="85" t="s">
        <v>103</v>
      </c>
      <c r="N154" s="85" t="s">
        <v>104</v>
      </c>
    </row>
    <row r="155" spans="12:17" ht="13.15" customHeight="1" x14ac:dyDescent="0.35">
      <c r="L155" s="85" t="s">
        <v>31</v>
      </c>
      <c r="M155" s="85">
        <v>14</v>
      </c>
    </row>
    <row r="157" spans="12:17" ht="13.15" customHeight="1" x14ac:dyDescent="0.35">
      <c r="L157" s="85" t="s">
        <v>92</v>
      </c>
      <c r="M157" s="85" t="s">
        <v>109</v>
      </c>
    </row>
    <row r="158" spans="12:17" ht="13.15" customHeight="1" x14ac:dyDescent="0.35">
      <c r="L158" s="85" t="s">
        <v>2</v>
      </c>
      <c r="M158" s="85" t="s">
        <v>78</v>
      </c>
    </row>
    <row r="159" spans="12:17" ht="13.15" customHeight="1" x14ac:dyDescent="0.35">
      <c r="L159" s="85" t="s">
        <v>7</v>
      </c>
      <c r="M159" s="85" t="s">
        <v>61</v>
      </c>
      <c r="N159" s="85" t="s">
        <v>62</v>
      </c>
      <c r="O159" s="85" t="s">
        <v>63</v>
      </c>
      <c r="P159" s="85" t="s">
        <v>64</v>
      </c>
    </row>
    <row r="160" spans="12:17" ht="13.15" customHeight="1" x14ac:dyDescent="0.35">
      <c r="L160" s="85" t="s">
        <v>12</v>
      </c>
      <c r="M160" s="85" t="s">
        <v>18</v>
      </c>
      <c r="N160" s="85" t="s">
        <v>19</v>
      </c>
      <c r="O160" s="85" t="s">
        <v>20</v>
      </c>
      <c r="P160" s="85" t="s">
        <v>21</v>
      </c>
    </row>
    <row r="161" spans="12:17" ht="13.15" customHeight="1" x14ac:dyDescent="0.35">
      <c r="L161" s="85" t="s">
        <v>87</v>
      </c>
      <c r="M161" s="85" t="s">
        <v>88</v>
      </c>
      <c r="N161" s="85" t="s">
        <v>89</v>
      </c>
      <c r="O161" s="85" t="s">
        <v>90</v>
      </c>
      <c r="P161" s="85" t="s">
        <v>91</v>
      </c>
      <c r="Q161" s="85" t="s">
        <v>91</v>
      </c>
    </row>
    <row r="162" spans="12:17" ht="13.15" customHeight="1" x14ac:dyDescent="0.35">
      <c r="P162" s="85" t="s">
        <v>94</v>
      </c>
      <c r="Q162" s="85" t="s">
        <v>95</v>
      </c>
    </row>
    <row r="163" spans="12:17" ht="13.15" customHeight="1" x14ac:dyDescent="0.35">
      <c r="L163" s="85" t="s">
        <v>97</v>
      </c>
      <c r="M163" s="85">
        <v>2051</v>
      </c>
      <c r="N163" s="85">
        <v>4111</v>
      </c>
      <c r="O163" s="85">
        <v>4395</v>
      </c>
      <c r="P163" s="85">
        <v>248</v>
      </c>
      <c r="Q163" s="85">
        <v>229</v>
      </c>
    </row>
    <row r="164" spans="12:17" ht="13.15" customHeight="1" x14ac:dyDescent="0.35">
      <c r="L164" s="85" t="s">
        <v>98</v>
      </c>
      <c r="M164" s="85">
        <v>2216</v>
      </c>
      <c r="N164" s="85">
        <v>4439</v>
      </c>
      <c r="O164" s="85">
        <v>4748</v>
      </c>
      <c r="P164" s="85">
        <v>266</v>
      </c>
      <c r="Q164" s="85">
        <v>248</v>
      </c>
    </row>
    <row r="165" spans="12:17" ht="13.15" customHeight="1" x14ac:dyDescent="0.35">
      <c r="L165" s="85" t="s">
        <v>99</v>
      </c>
      <c r="M165" s="85">
        <v>0</v>
      </c>
      <c r="N165" s="85">
        <v>0</v>
      </c>
    </row>
    <row r="166" spans="12:17" ht="13.15" customHeight="1" x14ac:dyDescent="0.35">
      <c r="L166" s="85" t="s">
        <v>100</v>
      </c>
      <c r="M166" s="85" t="s">
        <v>103</v>
      </c>
      <c r="N166" s="85" t="s">
        <v>104</v>
      </c>
    </row>
    <row r="167" spans="12:17" ht="13.15" customHeight="1" x14ac:dyDescent="0.35">
      <c r="L167" s="85" t="s">
        <v>31</v>
      </c>
      <c r="M167" s="85">
        <v>29</v>
      </c>
    </row>
    <row r="169" spans="12:17" ht="13.15" customHeight="1" x14ac:dyDescent="0.35">
      <c r="L169" s="85" t="s">
        <v>92</v>
      </c>
      <c r="M169" s="85" t="s">
        <v>110</v>
      </c>
    </row>
    <row r="170" spans="12:17" ht="13.15" customHeight="1" x14ac:dyDescent="0.35">
      <c r="L170" s="85" t="s">
        <v>2</v>
      </c>
      <c r="M170" s="85" t="s">
        <v>80</v>
      </c>
    </row>
    <row r="171" spans="12:17" ht="13.15" customHeight="1" x14ac:dyDescent="0.35">
      <c r="L171" s="85" t="s">
        <v>7</v>
      </c>
      <c r="M171" s="85" t="s">
        <v>71</v>
      </c>
      <c r="N171" s="85" t="s">
        <v>72</v>
      </c>
      <c r="O171" s="85" t="s">
        <v>73</v>
      </c>
      <c r="P171" s="85" t="s">
        <v>74</v>
      </c>
    </row>
    <row r="172" spans="12:17" ht="13.15" customHeight="1" x14ac:dyDescent="0.35">
      <c r="L172" s="85" t="s">
        <v>12</v>
      </c>
      <c r="M172" s="85" t="s">
        <v>18</v>
      </c>
      <c r="N172" s="85" t="s">
        <v>19</v>
      </c>
      <c r="O172" s="85" t="s">
        <v>20</v>
      </c>
      <c r="P172" s="85" t="s">
        <v>21</v>
      </c>
    </row>
    <row r="173" spans="12:17" ht="13.15" customHeight="1" x14ac:dyDescent="0.35">
      <c r="L173" s="85" t="s">
        <v>87</v>
      </c>
      <c r="M173" s="85" t="s">
        <v>88</v>
      </c>
      <c r="N173" s="85" t="s">
        <v>89</v>
      </c>
      <c r="O173" s="85" t="s">
        <v>90</v>
      </c>
      <c r="P173" s="85" t="s">
        <v>91</v>
      </c>
      <c r="Q173" s="85" t="s">
        <v>91</v>
      </c>
    </row>
    <row r="174" spans="12:17" ht="13.15" customHeight="1" x14ac:dyDescent="0.35">
      <c r="P174" s="85" t="s">
        <v>94</v>
      </c>
      <c r="Q174" s="85" t="s">
        <v>95</v>
      </c>
    </row>
    <row r="175" spans="12:17" ht="13.15" customHeight="1" x14ac:dyDescent="0.35">
      <c r="L175" s="85" t="s">
        <v>97</v>
      </c>
      <c r="M175" s="85">
        <v>1426</v>
      </c>
      <c r="N175" s="85">
        <v>2455</v>
      </c>
      <c r="O175" s="85">
        <v>2599</v>
      </c>
      <c r="P175" s="85">
        <v>193</v>
      </c>
      <c r="Q175" s="85">
        <v>181</v>
      </c>
    </row>
    <row r="176" spans="12:17" ht="13.15" customHeight="1" x14ac:dyDescent="0.35">
      <c r="L176" s="85" t="s">
        <v>98</v>
      </c>
      <c r="M176" s="85">
        <v>1540</v>
      </c>
      <c r="N176" s="85">
        <v>2651</v>
      </c>
      <c r="O176" s="85">
        <v>2807</v>
      </c>
      <c r="P176" s="85">
        <v>209</v>
      </c>
      <c r="Q176" s="85">
        <v>196</v>
      </c>
    </row>
    <row r="177" spans="12:17" ht="13.15" customHeight="1" x14ac:dyDescent="0.35">
      <c r="L177" s="85" t="s">
        <v>99</v>
      </c>
      <c r="M177" s="85">
        <v>0</v>
      </c>
      <c r="N177" s="85">
        <v>0</v>
      </c>
    </row>
    <row r="178" spans="12:17" ht="13.15" customHeight="1" x14ac:dyDescent="0.35">
      <c r="L178" s="85" t="s">
        <v>100</v>
      </c>
      <c r="M178" s="85" t="s">
        <v>103</v>
      </c>
      <c r="N178" s="85" t="s">
        <v>104</v>
      </c>
    </row>
    <row r="179" spans="12:17" ht="13.15" customHeight="1" x14ac:dyDescent="0.35">
      <c r="L179" s="85" t="s">
        <v>31</v>
      </c>
      <c r="M179" s="85">
        <v>23</v>
      </c>
    </row>
    <row r="181" spans="12:17" ht="13.15" customHeight="1" x14ac:dyDescent="0.35">
      <c r="L181" s="85" t="s">
        <v>92</v>
      </c>
      <c r="M181" s="85" t="s">
        <v>111</v>
      </c>
    </row>
    <row r="182" spans="12:17" ht="13.15" customHeight="1" x14ac:dyDescent="0.35">
      <c r="L182" s="85" t="s">
        <v>2</v>
      </c>
      <c r="M182" s="85" t="s">
        <v>82</v>
      </c>
    </row>
    <row r="183" spans="12:17" ht="13.15" customHeight="1" x14ac:dyDescent="0.35">
      <c r="L183" s="85" t="s">
        <v>7</v>
      </c>
      <c r="M183" s="85" t="s">
        <v>66</v>
      </c>
      <c r="N183" s="85" t="s">
        <v>67</v>
      </c>
      <c r="O183" s="85" t="s">
        <v>68</v>
      </c>
      <c r="P183" s="85" t="s">
        <v>69</v>
      </c>
    </row>
    <row r="184" spans="12:17" ht="13.15" customHeight="1" x14ac:dyDescent="0.35">
      <c r="L184" s="85" t="s">
        <v>12</v>
      </c>
      <c r="M184" s="85" t="s">
        <v>18</v>
      </c>
      <c r="N184" s="85" t="s">
        <v>19</v>
      </c>
      <c r="O184" s="85" t="s">
        <v>20</v>
      </c>
      <c r="P184" s="85" t="s">
        <v>21</v>
      </c>
    </row>
    <row r="185" spans="12:17" ht="13.15" customHeight="1" x14ac:dyDescent="0.35">
      <c r="L185" s="85" t="s">
        <v>87</v>
      </c>
      <c r="M185" s="85" t="s">
        <v>88</v>
      </c>
      <c r="N185" s="85" t="s">
        <v>89</v>
      </c>
      <c r="O185" s="85" t="s">
        <v>90</v>
      </c>
      <c r="P185" s="85" t="s">
        <v>91</v>
      </c>
      <c r="Q185" s="85" t="s">
        <v>91</v>
      </c>
    </row>
    <row r="186" spans="12:17" ht="13.15" customHeight="1" x14ac:dyDescent="0.35">
      <c r="P186" s="85" t="s">
        <v>94</v>
      </c>
      <c r="Q186" s="85" t="s">
        <v>95</v>
      </c>
    </row>
    <row r="187" spans="12:17" ht="13.15" customHeight="1" x14ac:dyDescent="0.35">
      <c r="L187" s="85" t="s">
        <v>97</v>
      </c>
      <c r="M187" s="85">
        <v>1395</v>
      </c>
      <c r="N187" s="85">
        <v>2453</v>
      </c>
      <c r="O187" s="85">
        <v>2758</v>
      </c>
      <c r="P187" s="85">
        <v>168</v>
      </c>
      <c r="Q187" s="85">
        <v>156</v>
      </c>
    </row>
    <row r="188" spans="12:17" ht="13.15" customHeight="1" x14ac:dyDescent="0.35">
      <c r="L188" s="85" t="s">
        <v>98</v>
      </c>
      <c r="M188" s="85">
        <v>1506</v>
      </c>
      <c r="N188" s="85">
        <v>2648</v>
      </c>
      <c r="O188" s="85">
        <v>2977</v>
      </c>
      <c r="P188" s="85">
        <v>182</v>
      </c>
      <c r="Q188" s="85">
        <v>168</v>
      </c>
    </row>
    <row r="189" spans="12:17" ht="13.15" customHeight="1" x14ac:dyDescent="0.35">
      <c r="L189" s="85" t="s">
        <v>99</v>
      </c>
      <c r="M189" s="85">
        <v>0</v>
      </c>
      <c r="N189" s="85">
        <v>0</v>
      </c>
    </row>
    <row r="190" spans="12:17" ht="13.15" customHeight="1" x14ac:dyDescent="0.35">
      <c r="L190" s="85" t="s">
        <v>100</v>
      </c>
      <c r="M190" s="85" t="s">
        <v>103</v>
      </c>
      <c r="N190" s="85" t="s">
        <v>104</v>
      </c>
    </row>
    <row r="191" spans="12:17" ht="13.15" customHeight="1" x14ac:dyDescent="0.35">
      <c r="L191" s="85" t="s">
        <v>31</v>
      </c>
      <c r="M191" s="85">
        <v>25</v>
      </c>
    </row>
    <row r="193" spans="12:17" ht="13.15" customHeight="1" x14ac:dyDescent="0.35">
      <c r="L193" s="85" t="s">
        <v>92</v>
      </c>
      <c r="M193" s="85" t="s">
        <v>112</v>
      </c>
    </row>
    <row r="194" spans="12:17" ht="13.15" customHeight="1" x14ac:dyDescent="0.35">
      <c r="L194" s="85" t="s">
        <v>2</v>
      </c>
      <c r="M194" s="85" t="s">
        <v>84</v>
      </c>
    </row>
    <row r="195" spans="12:17" ht="13.15" customHeight="1" x14ac:dyDescent="0.35">
      <c r="L195" s="85" t="s">
        <v>7</v>
      </c>
      <c r="M195" s="85" t="s">
        <v>13</v>
      </c>
      <c r="N195" s="85" t="s">
        <v>14</v>
      </c>
      <c r="O195" s="85" t="s">
        <v>15</v>
      </c>
      <c r="P195" s="85" t="s">
        <v>16</v>
      </c>
    </row>
    <row r="196" spans="12:17" ht="13.15" customHeight="1" x14ac:dyDescent="0.35">
      <c r="L196" s="85" t="s">
        <v>12</v>
      </c>
      <c r="M196" s="85" t="s">
        <v>18</v>
      </c>
      <c r="N196" s="85" t="s">
        <v>19</v>
      </c>
      <c r="O196" s="85" t="s">
        <v>20</v>
      </c>
      <c r="P196" s="85" t="s">
        <v>21</v>
      </c>
    </row>
    <row r="197" spans="12:17" ht="13.15" customHeight="1" x14ac:dyDescent="0.35">
      <c r="L197" s="85" t="s">
        <v>87</v>
      </c>
      <c r="M197" s="85" t="s">
        <v>88</v>
      </c>
      <c r="N197" s="85" t="s">
        <v>89</v>
      </c>
      <c r="O197" s="85" t="s">
        <v>90</v>
      </c>
      <c r="P197" s="85" t="s">
        <v>91</v>
      </c>
      <c r="Q197" s="85" t="s">
        <v>91</v>
      </c>
    </row>
    <row r="198" spans="12:17" ht="13.15" customHeight="1" x14ac:dyDescent="0.35">
      <c r="P198" s="85" t="s">
        <v>94</v>
      </c>
      <c r="Q198" s="85" t="s">
        <v>95</v>
      </c>
    </row>
    <row r="199" spans="12:17" ht="13.15" customHeight="1" x14ac:dyDescent="0.35">
      <c r="L199" s="85" t="s">
        <v>97</v>
      </c>
      <c r="M199" s="85">
        <v>1814</v>
      </c>
      <c r="N199" s="85">
        <v>3630</v>
      </c>
      <c r="O199" s="85">
        <v>3704</v>
      </c>
      <c r="P199" s="85">
        <v>139</v>
      </c>
      <c r="Q199" s="85">
        <v>153</v>
      </c>
    </row>
    <row r="200" spans="12:17" ht="13.15" customHeight="1" x14ac:dyDescent="0.35">
      <c r="L200" s="85" t="s">
        <v>98</v>
      </c>
      <c r="M200" s="85">
        <v>1959</v>
      </c>
      <c r="N200" s="85">
        <v>3919</v>
      </c>
      <c r="O200" s="85">
        <v>3999</v>
      </c>
      <c r="P200" s="85">
        <v>151</v>
      </c>
      <c r="Q200" s="85">
        <v>185</v>
      </c>
    </row>
    <row r="201" spans="12:17" ht="13.15" customHeight="1" x14ac:dyDescent="0.35">
      <c r="L201" s="85" t="s">
        <v>99</v>
      </c>
      <c r="M201" s="85">
        <v>0</v>
      </c>
      <c r="N201" s="85">
        <v>0</v>
      </c>
    </row>
    <row r="202" spans="12:17" ht="13.15" customHeight="1" x14ac:dyDescent="0.35">
      <c r="L202" s="85" t="s">
        <v>100</v>
      </c>
      <c r="M202" s="85" t="s">
        <v>103</v>
      </c>
      <c r="N202" s="85" t="s">
        <v>104</v>
      </c>
    </row>
    <row r="203" spans="12:17" ht="13.15" customHeight="1" x14ac:dyDescent="0.35">
      <c r="L203" s="85" t="s">
        <v>31</v>
      </c>
      <c r="M203" s="85">
        <v>15</v>
      </c>
    </row>
    <row r="205" spans="12:17" ht="13.15" customHeight="1" x14ac:dyDescent="0.35">
      <c r="L205" s="85" t="s">
        <v>92</v>
      </c>
      <c r="M205" s="85" t="s">
        <v>113</v>
      </c>
    </row>
    <row r="206" spans="12:17" ht="13.15" customHeight="1" x14ac:dyDescent="0.35">
      <c r="L206" s="85" t="s">
        <v>2</v>
      </c>
      <c r="M206" s="85" t="s">
        <v>86</v>
      </c>
    </row>
    <row r="207" spans="12:17" ht="13.15" customHeight="1" x14ac:dyDescent="0.35">
      <c r="L207" s="85" t="s">
        <v>7</v>
      </c>
      <c r="M207" s="85" t="s">
        <v>53</v>
      </c>
      <c r="N207" s="85" t="s">
        <v>54</v>
      </c>
      <c r="O207" s="85" t="s">
        <v>55</v>
      </c>
      <c r="P207" s="85" t="s">
        <v>56</v>
      </c>
    </row>
    <row r="208" spans="12:17" ht="13.15" customHeight="1" x14ac:dyDescent="0.35">
      <c r="L208" s="85" t="s">
        <v>12</v>
      </c>
      <c r="M208" s="85" t="s">
        <v>18</v>
      </c>
      <c r="N208" s="85" t="s">
        <v>19</v>
      </c>
      <c r="O208" s="85" t="s">
        <v>20</v>
      </c>
      <c r="P208" s="85" t="s">
        <v>21</v>
      </c>
    </row>
    <row r="209" spans="12:17" ht="13.15" customHeight="1" x14ac:dyDescent="0.35">
      <c r="L209" s="85" t="s">
        <v>87</v>
      </c>
      <c r="M209" s="85" t="s">
        <v>88</v>
      </c>
      <c r="N209" s="85" t="s">
        <v>89</v>
      </c>
      <c r="O209" s="85" t="s">
        <v>90</v>
      </c>
      <c r="P209" s="85" t="s">
        <v>91</v>
      </c>
      <c r="Q209" s="85" t="s">
        <v>91</v>
      </c>
    </row>
    <row r="210" spans="12:17" ht="13.15" customHeight="1" x14ac:dyDescent="0.35">
      <c r="P210" s="85" t="s">
        <v>94</v>
      </c>
      <c r="Q210" s="85" t="s">
        <v>95</v>
      </c>
    </row>
    <row r="211" spans="12:17" ht="13.15" customHeight="1" x14ac:dyDescent="0.35">
      <c r="L211" s="85" t="s">
        <v>97</v>
      </c>
      <c r="M211" s="85">
        <v>1836</v>
      </c>
      <c r="N211" s="85">
        <v>3125</v>
      </c>
      <c r="O211" s="85">
        <v>3519</v>
      </c>
      <c r="P211" s="85">
        <v>187</v>
      </c>
      <c r="Q211" s="85">
        <v>184</v>
      </c>
    </row>
    <row r="212" spans="12:17" ht="13.15" customHeight="1" x14ac:dyDescent="0.35">
      <c r="L212" s="85" t="s">
        <v>98</v>
      </c>
      <c r="M212" s="85">
        <v>1984</v>
      </c>
      <c r="N212" s="85">
        <v>3375</v>
      </c>
      <c r="O212" s="85">
        <v>3800</v>
      </c>
      <c r="P212" s="85">
        <v>202</v>
      </c>
      <c r="Q212" s="85">
        <v>199</v>
      </c>
    </row>
    <row r="213" spans="12:17" ht="13.15" customHeight="1" x14ac:dyDescent="0.35">
      <c r="L213" s="85" t="s">
        <v>99</v>
      </c>
      <c r="M213" s="85">
        <v>0</v>
      </c>
      <c r="N213" s="85">
        <v>0</v>
      </c>
    </row>
    <row r="214" spans="12:17" ht="13.15" customHeight="1" x14ac:dyDescent="0.35">
      <c r="L214" s="85" t="s">
        <v>100</v>
      </c>
      <c r="M214" s="85" t="s">
        <v>103</v>
      </c>
      <c r="N214" s="85" t="s">
        <v>104</v>
      </c>
    </row>
    <row r="215" spans="12:17" ht="13.15" customHeight="1" x14ac:dyDescent="0.35">
      <c r="L215" s="85" t="s">
        <v>31</v>
      </c>
      <c r="M215" s="85">
        <v>36</v>
      </c>
    </row>
  </sheetData>
  <mergeCells count="2">
    <mergeCell ref="A11:A13"/>
    <mergeCell ref="A15:A17"/>
  </mergeCells>
  <phoneticPr fontId="35" type="noConversion"/>
  <dataValidations count="1">
    <dataValidation type="list" allowBlank="1" showInputMessage="1" showErrorMessage="1" sqref="H2" xr:uid="{00000000-0002-0000-0100-000000000000}">
      <formula1>$H$10:$H$27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56"/>
  <sheetViews>
    <sheetView tabSelected="1" zoomScale="70" zoomScaleNormal="70" workbookViewId="0">
      <selection activeCell="F15" sqref="F15:F16"/>
    </sheetView>
  </sheetViews>
  <sheetFormatPr defaultColWidth="9.69140625" defaultRowHeight="13.15" customHeight="1" x14ac:dyDescent="0.25"/>
  <cols>
    <col min="1" max="1" width="5.15234375" style="34" customWidth="1"/>
    <col min="2" max="2" width="14.15234375" style="34" customWidth="1"/>
    <col min="3" max="3" width="14.4609375" style="34" customWidth="1"/>
    <col min="4" max="4" width="15.3046875" style="34" customWidth="1"/>
    <col min="5" max="5" width="15" style="34" customWidth="1"/>
    <col min="6" max="6" width="15.69140625" style="34" customWidth="1"/>
    <col min="7" max="7" width="9.69140625" style="34" customWidth="1"/>
    <col min="8" max="8" width="8.15234375" style="34" customWidth="1"/>
    <col min="9" max="9" width="20" style="34" customWidth="1"/>
    <col min="10" max="10" width="15.15234375" style="34" customWidth="1"/>
    <col min="11" max="11" width="16.4609375" style="34" customWidth="1"/>
    <col min="12" max="12" width="5.15234375" style="1" customWidth="1"/>
    <col min="13" max="13" width="12.84375" style="34" customWidth="1"/>
    <col min="14" max="14" width="20.3046875" style="34" customWidth="1"/>
    <col min="15" max="15" width="13.3046875" style="34" customWidth="1"/>
    <col min="16" max="16" width="17.15234375" style="34" customWidth="1"/>
    <col min="17" max="17" width="13.15234375" style="34" customWidth="1"/>
    <col min="18" max="18" width="15.69140625" style="34" customWidth="1"/>
    <col min="19" max="19" width="13.84375" style="34" customWidth="1"/>
    <col min="20" max="20" width="16.69140625" style="34" customWidth="1"/>
    <col min="21" max="21" width="12.84375" style="34" customWidth="1"/>
    <col min="22" max="40" width="9" style="34"/>
  </cols>
  <sheetData>
    <row r="1" spans="2:19" ht="13.15" customHeight="1" x14ac:dyDescent="0.25">
      <c r="B1" s="148" t="str">
        <f>C11</f>
        <v>AT 30 DAYS AFTER SIGHT</v>
      </c>
      <c r="G1" s="1"/>
      <c r="H1" s="149" t="s">
        <v>114</v>
      </c>
      <c r="I1" s="212">
        <f>D30+D31</f>
        <v>472430.00055409735</v>
      </c>
      <c r="J1" s="251" t="s">
        <v>115</v>
      </c>
      <c r="K1" s="212">
        <f>D32+D33</f>
        <v>87579.884945902639</v>
      </c>
    </row>
    <row r="2" spans="2:19" ht="13.15" customHeight="1" x14ac:dyDescent="0.25">
      <c r="B2" s="150" t="s">
        <v>32</v>
      </c>
      <c r="C2" s="151" t="s">
        <v>39</v>
      </c>
      <c r="D2" s="152" t="s">
        <v>116</v>
      </c>
      <c r="E2" s="153">
        <f>IF(OR(C12="海运普通",C12="海运冷藏"),运费!C12,IF(C12="空运",运费!C22,0))</f>
        <v>5</v>
      </c>
      <c r="F2" s="154" t="s">
        <v>117</v>
      </c>
      <c r="G2" s="1"/>
      <c r="H2" s="312" t="s">
        <v>118</v>
      </c>
      <c r="I2" s="313"/>
      <c r="J2" s="313"/>
      <c r="K2" s="314"/>
      <c r="M2" s="312" t="s">
        <v>119</v>
      </c>
      <c r="N2" s="313"/>
      <c r="O2" s="313"/>
      <c r="P2" s="314"/>
    </row>
    <row r="3" spans="2:19" ht="13.15" customHeight="1" x14ac:dyDescent="0.3">
      <c r="B3" s="307" t="str">
        <f>VLOOKUP(C6,国家,2,FALSE)</f>
        <v>巴西</v>
      </c>
      <c r="C3" s="342" t="str">
        <f>VLOOKUP(C7,国家,2,FALSE)</f>
        <v>俄罗斯</v>
      </c>
      <c r="D3" s="155" t="str">
        <f>运费!C3</f>
        <v>Rio De Janeiro-St.Petersburg</v>
      </c>
      <c r="E3" s="156"/>
      <c r="F3" s="348">
        <f>K1/I1</f>
        <v>0.18538171759452854</v>
      </c>
      <c r="G3" s="1"/>
      <c r="H3" s="157" t="s">
        <v>120</v>
      </c>
      <c r="I3" s="252" t="s">
        <v>121</v>
      </c>
      <c r="J3" s="253" t="s">
        <v>122</v>
      </c>
      <c r="K3" s="254" t="s">
        <v>123</v>
      </c>
      <c r="L3" s="255"/>
      <c r="M3" s="256" t="s">
        <v>124</v>
      </c>
      <c r="N3" s="253" t="s">
        <v>125</v>
      </c>
      <c r="O3" s="253" t="s">
        <v>122</v>
      </c>
      <c r="P3" s="254" t="s">
        <v>123</v>
      </c>
    </row>
    <row r="4" spans="2:19" ht="13.15" customHeight="1" x14ac:dyDescent="0.3">
      <c r="B4" s="307"/>
      <c r="C4" s="343"/>
      <c r="D4" s="152"/>
      <c r="E4" s="158"/>
      <c r="F4" s="349"/>
      <c r="G4" s="1"/>
      <c r="H4" s="319" t="s">
        <v>126</v>
      </c>
      <c r="I4" s="257" t="str">
        <f>C6&amp;"="</f>
        <v>BRL=</v>
      </c>
      <c r="J4" s="258" t="s">
        <v>127</v>
      </c>
      <c r="K4" s="259">
        <f>IF(C6=十国汇率表!B2,VLOOKUP(J4,澳大利亚汇率,3,0),IF(C6=十国汇率表!B13,VLOOKUP(J4,巴西汇率,3,0),IF(C6=十国汇率表!B24,VLOOKUP(J4,古巴汇率,3,0),IF(C6=十国汇率表!B35,VLOOKUP(J4,德国汇率,3,0),IF(C6=十国汇率表!B46,VLOOKUP(J4,英国汇率,3,0),IF(C6=十国汇率表!B57,VLOOKUP(J4,日本汇率,3,0),IF(C6=十国汇率表!B68,VLOOKUP(J4,中国汇率,3,0),IF(C6=十国汇率表!B79,VLOOKUP(J4,俄罗斯汇率,3,0),IF(C6=十国汇率表!B90,VLOOKUP(J4,美国汇率,3,0),IF(C6=十国汇率表!B101,VLOOKUP(J4,南非汇率,3,0),0))))))))))</f>
        <v>0.52429999999999999</v>
      </c>
      <c r="L4" s="255"/>
      <c r="M4" s="323" t="s">
        <v>126</v>
      </c>
      <c r="N4" s="260" t="str">
        <f>C7&amp;"="</f>
        <v>RUB=</v>
      </c>
      <c r="O4" s="258" t="s">
        <v>127</v>
      </c>
      <c r="P4" s="261">
        <f>IF(C7=十国汇率表!B2,VLOOKUP(J4,澳大利亚汇率,3,0),IF(C7=十国汇率表!B13,VLOOKUP(J4,巴西汇率,3,0),IF(C7=十国汇率表!B24,VLOOKUP(J4,古巴汇率,3,0),IF(C7=十国汇率表!B35,VLOOKUP(J4,德国汇率,3,0),IF(C7=十国汇率表!B46,VLOOKUP(J4,英国汇率,3,0),IF(C7=十国汇率表!B57,VLOOKUP(J4,日本汇率,3,0),IF(C7=十国汇率表!B68,VLOOKUP(J4,中国汇率,3,0),IF(C7=十国汇率表!B79,VLOOKUP(J4,俄罗斯汇率,3,0),IF(C7=十国汇率表!B90,VLOOKUP(J4,美国汇率,3,0),IF(C7=十国汇率表!B101,VLOOKUP(J4,南非汇率,3,0),0))))))))))</f>
        <v>3.4099999999999998E-2</v>
      </c>
    </row>
    <row r="5" spans="2:19" ht="13.15" customHeight="1" x14ac:dyDescent="0.3">
      <c r="B5" s="308"/>
      <c r="C5" s="344"/>
      <c r="D5" s="159"/>
      <c r="E5" s="160"/>
      <c r="F5" s="350"/>
      <c r="G5" s="1"/>
      <c r="H5" s="320"/>
      <c r="I5" s="262" t="str">
        <f>C6&amp;"="</f>
        <v>BRL=</v>
      </c>
      <c r="J5" s="217" t="str">
        <f>C8</f>
        <v>USD</v>
      </c>
      <c r="K5" s="259">
        <f>IF(C6=十国汇率表!B2,VLOOKUP(C8,澳大利亚汇率,3,0),IF(C6=十国汇率表!B13,VLOOKUP(C8,巴西汇率,3,0),IF(C6=十国汇率表!B24,VLOOKUP(C8,古巴汇率,3,0),IF(C6=十国汇率表!B35,VLOOKUP(C8,德国汇率,3,0),IF(C6=十国汇率表!B46,VLOOKUP(C8,英国汇率,3,0),IF(C6=十国汇率表!B57,VLOOKUP(C8,日本汇率,3,0),IF(C6=十国汇率表!B68,VLOOKUP(C8,中国汇率,3,0),IF(C6=十国汇率表!B79,VLOOKUP(C8,俄罗斯汇率,3,0),IF(C6=十国汇率表!B90,VLOOKUP(C8,美国汇率,3,0),IF(C6=十国汇率表!B101,VLOOKUP(C8,南非汇率,3,0),0))))))))))</f>
        <v>0.52429999999999999</v>
      </c>
      <c r="L5" s="255"/>
      <c r="M5" s="324"/>
      <c r="N5" s="263" t="str">
        <f>C7&amp;"="</f>
        <v>RUB=</v>
      </c>
      <c r="O5" s="264" t="str">
        <f>C8</f>
        <v>USD</v>
      </c>
      <c r="P5" s="265">
        <f>IF(C7=十国汇率表!B2,VLOOKUP(C8,澳大利亚汇率,3,0),IF(C7=十国汇率表!B13,VLOOKUP(C8,巴西汇率,3,0),IF(C7=十国汇率表!B24,VLOOKUP(C8,古巴汇率,3,0),IF(C7=十国汇率表!B35,VLOOKUP(C8,德国汇率,3,0),IF(C7=十国汇率表!B46,VLOOKUP(C8,英国汇率,3,0),IF(C7=十国汇率表!B57,VLOOKUP(C8,日本汇率,3,0),IF(C7=十国汇率表!B68,VLOOKUP(C8,中国汇率,3,0),IF(C7=十国汇率表!B79,VLOOKUP(C8,俄罗斯汇率,3,0),IF(C7=十国汇率表!B90,VLOOKUP(C8,美国汇率,3,0),IF(C7=十国汇率表!B101,VLOOKUP(C8,南非汇率,3,0),0))))))))))</f>
        <v>3.4099999999999998E-2</v>
      </c>
    </row>
    <row r="6" spans="2:19" ht="13.15" customHeight="1" x14ac:dyDescent="0.4">
      <c r="B6" s="161" t="s">
        <v>128</v>
      </c>
      <c r="C6" s="162" t="s">
        <v>338</v>
      </c>
      <c r="D6" s="163" t="s">
        <v>129</v>
      </c>
      <c r="E6" s="164">
        <v>19006</v>
      </c>
      <c r="F6" s="165">
        <f>商品相关信息!C2</f>
        <v>19006</v>
      </c>
      <c r="G6" s="1"/>
      <c r="H6" s="321" t="s">
        <v>130</v>
      </c>
      <c r="I6" s="266" t="s">
        <v>131</v>
      </c>
      <c r="J6" s="258" t="str">
        <f>C6</f>
        <v>BRL</v>
      </c>
      <c r="K6" s="267">
        <f>C26</f>
        <v>377530</v>
      </c>
      <c r="L6" s="255"/>
      <c r="M6" s="323">
        <v>1</v>
      </c>
      <c r="N6" s="360" t="s">
        <v>132</v>
      </c>
      <c r="O6" s="258" t="str">
        <f>C8</f>
        <v>USD</v>
      </c>
      <c r="P6" s="268" t="str">
        <f>IF(进出口预算表!C9="FOB",保费!B24,IF(进出口预算表!C9="FCA",保费!B27,"-"))</f>
        <v>-</v>
      </c>
    </row>
    <row r="7" spans="2:19" ht="13.15" customHeight="1" x14ac:dyDescent="0.4">
      <c r="B7" s="166" t="s">
        <v>133</v>
      </c>
      <c r="C7" s="167" t="s">
        <v>336</v>
      </c>
      <c r="D7" s="168" t="s">
        <v>135</v>
      </c>
      <c r="E7" s="169" t="str">
        <f>VLOOKUP(E6,十国工厂表!A2:B210,2,FALSE)</f>
        <v>女士皮凉鞋</v>
      </c>
      <c r="F7" s="170" t="str">
        <f>商品相关信息!C3</f>
        <v>女士皮凉鞋</v>
      </c>
      <c r="G7" s="1"/>
      <c r="H7" s="322"/>
      <c r="I7" s="269" t="s">
        <v>136</v>
      </c>
      <c r="J7" s="270" t="str">
        <f>C6</f>
        <v>BRL</v>
      </c>
      <c r="K7" s="271">
        <f>K6/(1+E14)*E16</f>
        <v>43432.654867256642</v>
      </c>
      <c r="L7" s="255"/>
      <c r="M7" s="324"/>
      <c r="N7" s="361"/>
      <c r="O7" s="217" t="str">
        <f>C7</f>
        <v>RUB</v>
      </c>
      <c r="P7" s="272" t="str">
        <f>IF(P6="-","-",P6/P5)</f>
        <v>-</v>
      </c>
    </row>
    <row r="8" spans="2:19" ht="13.15" customHeight="1" x14ac:dyDescent="0.3">
      <c r="B8" s="171" t="s">
        <v>137</v>
      </c>
      <c r="C8" s="172" t="s">
        <v>127</v>
      </c>
      <c r="D8" s="173" t="s">
        <v>138</v>
      </c>
      <c r="E8" s="174">
        <f>运费!H32</f>
        <v>475</v>
      </c>
      <c r="F8" s="175" t="str">
        <f>"合同金额"&amp;C8</f>
        <v>合同金额USD</v>
      </c>
      <c r="G8" s="1"/>
      <c r="H8" s="320"/>
      <c r="I8" s="273" t="s">
        <v>139</v>
      </c>
      <c r="J8" s="217" t="str">
        <f>C6</f>
        <v>BRL</v>
      </c>
      <c r="K8" s="272">
        <f>K6-K7</f>
        <v>334097.34513274336</v>
      </c>
      <c r="L8" s="255"/>
      <c r="M8" s="323">
        <v>2</v>
      </c>
      <c r="N8" s="362" t="s">
        <v>140</v>
      </c>
      <c r="O8" s="274" t="s">
        <v>127</v>
      </c>
      <c r="P8" s="267" t="str">
        <f>IF(OR(进出口预算表!C9="FOB",进出口预算表!C9="FCA"),运费!G30,"-")</f>
        <v>-</v>
      </c>
    </row>
    <row r="9" spans="2:19" ht="13.15" customHeight="1" x14ac:dyDescent="0.3">
      <c r="B9" s="171" t="s">
        <v>141</v>
      </c>
      <c r="C9" s="172" t="s">
        <v>862</v>
      </c>
      <c r="D9" s="171" t="s">
        <v>143</v>
      </c>
      <c r="E9" s="176">
        <f>运费!H34</f>
        <v>9500</v>
      </c>
      <c r="F9" s="177">
        <f>D21</f>
        <v>223915</v>
      </c>
      <c r="G9" s="1"/>
      <c r="H9" s="321" t="s">
        <v>144</v>
      </c>
      <c r="I9" s="266" t="s">
        <v>145</v>
      </c>
      <c r="J9" s="258" t="str">
        <f>C6</f>
        <v>BRL</v>
      </c>
      <c r="K9" s="268">
        <f>IF(OR(C38&gt;0.5,C39&gt;0.5,C40&gt;0.5,C41&gt;0.5,E18&gt;0.5),(D21/K5)*费用相关信息!D17%,0)</f>
        <v>0</v>
      </c>
      <c r="L9" s="255"/>
      <c r="M9" s="324"/>
      <c r="N9" s="363"/>
      <c r="O9" s="270" t="str">
        <f>C7</f>
        <v>RUB</v>
      </c>
      <c r="P9" s="271" t="str">
        <f>IF(P8="-","-",P8/P5)</f>
        <v>-</v>
      </c>
    </row>
    <row r="10" spans="2:19" ht="13.15" customHeight="1" x14ac:dyDescent="0.3">
      <c r="B10" s="171" t="s">
        <v>146</v>
      </c>
      <c r="C10" s="172" t="s">
        <v>817</v>
      </c>
      <c r="D10" s="171" t="s">
        <v>148</v>
      </c>
      <c r="E10" s="176">
        <f>运费!H35</f>
        <v>8550</v>
      </c>
      <c r="F10" s="178" t="s">
        <v>149</v>
      </c>
      <c r="G10" s="1"/>
      <c r="H10" s="322"/>
      <c r="I10" s="269" t="s">
        <v>150</v>
      </c>
      <c r="J10" s="270" t="str">
        <f>C6</f>
        <v>BRL</v>
      </c>
      <c r="K10" s="271">
        <f>VLOOKUP(C6,银行手续费,12,0)</f>
        <v>27</v>
      </c>
      <c r="L10" s="255"/>
      <c r="M10" s="323">
        <v>3</v>
      </c>
      <c r="N10" s="364" t="s">
        <v>151</v>
      </c>
      <c r="O10" s="270" t="str">
        <f>C8</f>
        <v>USD</v>
      </c>
      <c r="P10" s="271" t="str">
        <f>IF(进出口预算表!C9="FOB",保费!C24,IF(进出口预算表!C9="FCA",保费!C27,IF(进出口预算表!C9="CFR",保费!C25,IF(进出口预算表!C9="CPT",保费!C28,"-"))))</f>
        <v>-</v>
      </c>
    </row>
    <row r="11" spans="2:19" ht="14.25" customHeight="1" x14ac:dyDescent="0.3">
      <c r="B11" s="171" t="s">
        <v>152</v>
      </c>
      <c r="C11" s="179" t="s">
        <v>153</v>
      </c>
      <c r="D11" s="180" t="s">
        <v>154</v>
      </c>
      <c r="E11" s="181">
        <f>运费!H36</f>
        <v>109.25</v>
      </c>
      <c r="F11" s="182">
        <v>9500</v>
      </c>
      <c r="G11" s="1"/>
      <c r="H11" s="322"/>
      <c r="I11" s="269" t="s">
        <v>155</v>
      </c>
      <c r="J11" s="270" t="str">
        <f>C6</f>
        <v>BRL</v>
      </c>
      <c r="K11" s="271">
        <f>IF(保费!A24=保费!B13,保费!B24,IF(保费!B13=保费!A25,保费!B25,IF(保费!B13=保费!A26,保费!B26,IF(保费!B13=保费!A27,保费!B27,IF(保费!B13=保费!A28,保费!B28,IF(保费!B13=保费!A29,保费!B29,0))))))/K5*(1+E13)*E13</f>
        <v>0</v>
      </c>
      <c r="L11" s="255"/>
      <c r="M11" s="324"/>
      <c r="N11" s="365"/>
      <c r="O11" s="217" t="str">
        <f>C7</f>
        <v>RUB</v>
      </c>
      <c r="P11" s="272" t="str">
        <f>IF(P10="-","-",P10/P5)</f>
        <v>-</v>
      </c>
    </row>
    <row r="12" spans="2:19" ht="13.15" customHeight="1" x14ac:dyDescent="0.3">
      <c r="B12" s="171" t="s">
        <v>156</v>
      </c>
      <c r="C12" s="172" t="s">
        <v>252</v>
      </c>
      <c r="D12" s="183" t="s">
        <v>158</v>
      </c>
      <c r="E12" s="184">
        <f>INDEX(商品税率表!A:I,MATCH(进出口预算表!E6,商品税率表!A:A,0),MATCH(进出口预算表!D12,商品税率表!A1:I1,0))</f>
        <v>0.14000000000000001</v>
      </c>
      <c r="F12" s="185" t="str">
        <f>"出口工厂单价"&amp;C8</f>
        <v>出口工厂单价USD</v>
      </c>
      <c r="G12" s="1"/>
      <c r="H12" s="322"/>
      <c r="I12" s="269" t="s">
        <v>159</v>
      </c>
      <c r="J12" s="270" t="str">
        <f>C6</f>
        <v>BRL</v>
      </c>
      <c r="K12" s="275">
        <f>IFERROR(IF(MID(C11,1,3)*1&lt;1,IF(MID(C11,1,3)*(D21/K5)*VLOOKUP(C10,银行费率,2,FALSE)&gt;VLOOKUP(C6,银行手续费,3,0),MID(C11,1,3)*(D21/K5)*VLOOKUP(C10,银行费率,2,FALSE),VLOOKUP(C6,银行手续费,3,0))+IF(SUM((1-MID(C11,1,3)))*(D21/K5)*VLOOKUP(C10,银行费率,2,FALSE)&gt;VLOOKUP(C6,银行手续费,3,0),SUM((1-MID(C11,1,3)))*(D21/K5)*VLOOKUP(C10,银行费率,2,FALSE),VLOOKUP(C6,银行手续费,3,0)),IF(ROUND(VLOOKUP(C10,银行费率,2,FALSE)*(D21/K5),2)&gt;VLOOKUP(C6,银行手续费,3,0),ROUND(VLOOKUP(C10,银行费率,2,FALSE)*(D21/K5),2),VLOOKUP(C6,银行手续费,3,0))),IF(ROUND(VLOOKUP(C10,银行费率,2,FALSE)*(D21/K5),2)&gt;VLOOKUP(C6,银行手续费,3,0),ROUND(VLOOKUP(C10,银行费率,2,FALSE)*(D21/K5),2),VLOOKUP(C6,银行手续费,3,0)))</f>
        <v>427.07</v>
      </c>
      <c r="L12" s="255"/>
      <c r="M12" s="323">
        <v>4</v>
      </c>
      <c r="N12" s="161" t="s">
        <v>160</v>
      </c>
      <c r="O12" s="258" t="str">
        <f>C7</f>
        <v>RUB</v>
      </c>
      <c r="P12" s="268" t="str">
        <f>IF(OR(C9="FOB",C9="CFR",C9="FCA",C9="CPT"),保费!C10/P4,"-")</f>
        <v>-</v>
      </c>
    </row>
    <row r="13" spans="2:19" ht="13.15" customHeight="1" x14ac:dyDescent="0.3">
      <c r="B13" s="171" t="s">
        <v>161</v>
      </c>
      <c r="C13" s="186" t="str">
        <f>IF(运费!G30=运费!D45,运费!E45,IF(运费!G30=运费!J45,运费!K45,"空运"))</f>
        <v>40’普柜</v>
      </c>
      <c r="D13" s="171" t="s">
        <v>162</v>
      </c>
      <c r="E13" s="187">
        <f>INDEX(商品税率表!A1:I210,MATCH(进出口预算表!E6,商品税率表!A:A,0),MATCH(D13,商品税率表!A1:I1,0))</f>
        <v>0</v>
      </c>
      <c r="F13" s="188">
        <f>INDEX(十国工厂表!A:O,MATCH(进出口预算表!E6,十国工厂表!A:A,0),MATCH(进出口预算表!B3,十国工厂表!A1:L1,0))*K5</f>
        <v>20.835682000000002</v>
      </c>
      <c r="G13" s="1"/>
      <c r="H13" s="322"/>
      <c r="I13" s="269" t="s">
        <v>163</v>
      </c>
      <c r="J13" s="270" t="str">
        <f>C6</f>
        <v>BRL</v>
      </c>
      <c r="K13" s="271">
        <f>D45</f>
        <v>12</v>
      </c>
      <c r="L13" s="255"/>
      <c r="M13" s="325"/>
      <c r="N13" s="166" t="s">
        <v>164</v>
      </c>
      <c r="O13" s="315" t="str">
        <f>IF(OR(进出口预算表!C9="FOB",进出口预算表!C9="CFR",进出口预算表!C9="FCA",进出口预算表!C9="CPT"),进出口预算表!C19,"-")</f>
        <v>-</v>
      </c>
      <c r="P13" s="316"/>
    </row>
    <row r="14" spans="2:19" ht="13.15" customHeight="1" x14ac:dyDescent="0.3">
      <c r="B14" s="171" t="s">
        <v>165</v>
      </c>
      <c r="C14" s="186">
        <f>IF(C13=运费!C47,运费!C52,IF(C13=运费!D47,运费!D52,IF(C13=运费!E47,运费!E52,IF(C13=运费!I47,运费!I52,IF(C13=运费!J47,运费!J52,IF(C13=运费!K47,运费!K52,"无"))))))</f>
        <v>2</v>
      </c>
      <c r="D14" s="171" t="s">
        <v>166</v>
      </c>
      <c r="E14" s="187">
        <f>INDEX(商品税率表!A:I,MATCH(进出口预算表!E6,商品税率表!A:A,0),MATCH(D14,商品税率表!A1:I1,0))</f>
        <v>0.13</v>
      </c>
      <c r="F14" s="185" t="str">
        <f>"合同单价"&amp;C8</f>
        <v>合同单价USD</v>
      </c>
      <c r="G14" s="1"/>
      <c r="H14" s="322"/>
      <c r="I14" s="269" t="s">
        <v>167</v>
      </c>
      <c r="J14" s="270" t="str">
        <f>C6</f>
        <v>BRL</v>
      </c>
      <c r="K14" s="271">
        <f>SUM(K9:K13)</f>
        <v>466.07</v>
      </c>
      <c r="L14" s="255"/>
      <c r="M14" s="325"/>
      <c r="N14" s="166" t="s">
        <v>168</v>
      </c>
      <c r="O14" s="317" t="str">
        <f>IF(OR(进出口预算表!C9="FOB",进出口预算表!C9="CFR",进出口预算表!C9="FCA",进出口预算表!C9="CPT"),进出口预算表!C15,"-")</f>
        <v>-</v>
      </c>
      <c r="P14" s="318"/>
    </row>
    <row r="15" spans="2:19" ht="13.15" customHeight="1" x14ac:dyDescent="0.3">
      <c r="B15" s="171" t="s">
        <v>169</v>
      </c>
      <c r="C15" s="189">
        <v>1.3</v>
      </c>
      <c r="D15" s="171" t="s">
        <v>170</v>
      </c>
      <c r="E15" s="187">
        <f>INDEX(商品税率表!A:I,MATCH(进出口预算表!E6,商品税率表!A:A,0),MATCH(D15,商品税率表!A1:I1,0))</f>
        <v>0</v>
      </c>
      <c r="F15" s="351">
        <v>23.57</v>
      </c>
      <c r="G15" s="1"/>
      <c r="H15" s="322"/>
      <c r="I15" s="336" t="s">
        <v>171</v>
      </c>
      <c r="J15" s="270" t="str">
        <f>C6</f>
        <v>BRL</v>
      </c>
      <c r="K15" s="276">
        <f>K8+K14</f>
        <v>334563.41513274336</v>
      </c>
      <c r="L15" s="255"/>
      <c r="M15" s="324"/>
      <c r="N15" s="166" t="s">
        <v>172</v>
      </c>
      <c r="O15" s="270" t="str">
        <f>C8</f>
        <v>USD</v>
      </c>
      <c r="P15" s="271" t="str">
        <f>IF(OR(C9="FOB",C9="CFR",C9="FCA",C9="CPT"),保费!C9,"-")</f>
        <v>-</v>
      </c>
    </row>
    <row r="16" spans="2:19" ht="16.149999999999999" customHeight="1" x14ac:dyDescent="0.3">
      <c r="B16" s="190" t="s">
        <v>173</v>
      </c>
      <c r="C16" s="191" t="s">
        <v>836</v>
      </c>
      <c r="D16" s="171" t="s">
        <v>175</v>
      </c>
      <c r="E16" s="187">
        <f>INDEX(商品税率表!A:I,MATCH(进出口预算表!E6,商品税率表!A:A,0),MATCH(D16,商品税率表!A1:I1,0))</f>
        <v>0.13</v>
      </c>
      <c r="F16" s="352"/>
      <c r="G16" s="1"/>
      <c r="H16" s="322"/>
      <c r="I16" s="337"/>
      <c r="J16" s="217" t="str">
        <f>C8</f>
        <v>USD</v>
      </c>
      <c r="K16" s="272">
        <f>IF(K15="-","-",K15*K5)</f>
        <v>175411.59855409735</v>
      </c>
      <c r="L16" s="255"/>
      <c r="M16" s="323">
        <v>5</v>
      </c>
      <c r="N16" s="364" t="s">
        <v>176</v>
      </c>
      <c r="O16" s="270" t="str">
        <f>C8</f>
        <v>USD</v>
      </c>
      <c r="P16" s="271">
        <f>IF(进出口预算表!C9="FOB",保费!D24,IF(进出口预算表!C9="FCA",保费!D27,IF(进出口预算表!C9="CFR",保费!D25,IF(进出口预算表!C9="CPT",保费!D28,IF(进出口预算表!C9="CIF",保费!D26,IF(进出口预算表!C9="CIP",保费!D29,"-"))))))</f>
        <v>223915</v>
      </c>
      <c r="S16" s="34">
        <f>1110000*0.3</f>
        <v>333000</v>
      </c>
    </row>
    <row r="17" spans="2:19" ht="16.149999999999999" customHeight="1" x14ac:dyDescent="0.3">
      <c r="B17" s="192"/>
      <c r="C17" s="191" t="s">
        <v>177</v>
      </c>
      <c r="D17" s="171" t="s">
        <v>178</v>
      </c>
      <c r="E17" s="193">
        <f>INDEX(商品税率表!A:I,MATCH(进出口预算表!E6,商品税率表!A:A,0),MATCH(D17,商品税率表!A1:I1,0))</f>
        <v>0</v>
      </c>
      <c r="F17" s="185" t="str">
        <f>"进口市场单价"&amp;C8</f>
        <v>进口市场单价USD</v>
      </c>
      <c r="G17" s="1"/>
      <c r="H17" s="322"/>
      <c r="I17" s="338" t="s">
        <v>179</v>
      </c>
      <c r="J17" s="274" t="s">
        <v>127</v>
      </c>
      <c r="K17" s="267">
        <f>IF(OR(进出口预算表!C9="CIP",进出口预算表!C9="CIF",进出口预算表!C9="CFR",进出口预算表!C9="CPT"),运费!G30,"-")</f>
        <v>5774</v>
      </c>
      <c r="L17" s="255"/>
      <c r="M17" s="324"/>
      <c r="N17" s="365"/>
      <c r="O17" s="217" t="str">
        <f>C7</f>
        <v>RUB</v>
      </c>
      <c r="P17" s="272">
        <f>IF(P16="-","-",P16/P5)</f>
        <v>6566422.28739003</v>
      </c>
    </row>
    <row r="18" spans="2:19" ht="16.149999999999999" customHeight="1" x14ac:dyDescent="0.3">
      <c r="B18" s="194"/>
      <c r="C18" s="191" t="s">
        <v>180</v>
      </c>
      <c r="D18" s="166" t="s">
        <v>181</v>
      </c>
      <c r="E18" s="195">
        <f>IF(ISNUMBER(FIND("B",E17)),1,0)</f>
        <v>0</v>
      </c>
      <c r="F18" s="196">
        <f>INDEX(十国市场表!A:L,MATCH(进出口预算表!E6,十国市场表!A:A,0),MATCH(进出口预算表!C3,十国市场表!A1:L1,0))*P5</f>
        <v>35.378408999999998</v>
      </c>
      <c r="G18" s="1"/>
      <c r="H18" s="322"/>
      <c r="I18" s="339"/>
      <c r="J18" s="270" t="str">
        <f>C6</f>
        <v>BRL</v>
      </c>
      <c r="K18" s="271">
        <f>IF(K17="-","-",K17/K4)</f>
        <v>11012.778943353042</v>
      </c>
      <c r="L18" s="255"/>
      <c r="M18" s="277">
        <v>6</v>
      </c>
      <c r="N18" s="161" t="s">
        <v>182</v>
      </c>
      <c r="O18" s="258" t="str">
        <f>C7</f>
        <v>RUB</v>
      </c>
      <c r="P18" s="268">
        <f>P42*E12</f>
        <v>919299.12023460434</v>
      </c>
      <c r="Q18" s="34">
        <v>12362681.3049853</v>
      </c>
    </row>
    <row r="19" spans="2:19" ht="13.15" customHeight="1" x14ac:dyDescent="0.3">
      <c r="B19" s="197" t="s">
        <v>183</v>
      </c>
      <c r="C19" s="198">
        <f>SUM(保费!F3:F5)</f>
        <v>8.8000000000000007</v>
      </c>
      <c r="D19" s="199" t="s">
        <v>184</v>
      </c>
      <c r="E19" s="200">
        <f>IF(ISNUMBER(FIND("A",E17)),1,0)</f>
        <v>0</v>
      </c>
      <c r="G19" s="1"/>
      <c r="H19" s="322"/>
      <c r="I19" s="340" t="s">
        <v>185</v>
      </c>
      <c r="J19" s="270" t="str">
        <f>C6</f>
        <v>BRL</v>
      </c>
      <c r="K19" s="271">
        <f>IF(OR(C9="CFR",C9="CPT",C9="CIP",C9="CIF"),K8+K14+K18,"-")</f>
        <v>345576.19407609641</v>
      </c>
      <c r="L19" s="255"/>
      <c r="M19" s="277">
        <v>7</v>
      </c>
      <c r="N19" s="214" t="s">
        <v>186</v>
      </c>
      <c r="O19" s="217" t="str">
        <f>C7</f>
        <v>RUB</v>
      </c>
      <c r="P19" s="272">
        <f>P18+P42</f>
        <v>7485721.407624634</v>
      </c>
    </row>
    <row r="20" spans="2:19" ht="13.15" customHeight="1" x14ac:dyDescent="0.3">
      <c r="B20" s="201"/>
      <c r="C20" s="202" t="str">
        <f>"出口商货币"&amp;$C$6</f>
        <v>出口商货币BRL</v>
      </c>
      <c r="D20" s="203" t="str">
        <f>"合同货币"&amp;$C$8</f>
        <v>合同货币USD</v>
      </c>
      <c r="E20" s="204" t="str">
        <f>"进口商货币"&amp;$C$7</f>
        <v>进口商货币RUB</v>
      </c>
      <c r="G20" s="1"/>
      <c r="H20" s="322"/>
      <c r="I20" s="341"/>
      <c r="J20" s="217" t="str">
        <f>C8</f>
        <v>USD</v>
      </c>
      <c r="K20" s="272">
        <f>IF(K19="-","-",K19*K5)</f>
        <v>181185.59855409735</v>
      </c>
      <c r="L20" s="255"/>
      <c r="M20" s="323">
        <v>8</v>
      </c>
      <c r="N20" s="161" t="s">
        <v>145</v>
      </c>
      <c r="O20" s="258" t="str">
        <f>C7</f>
        <v>RUB</v>
      </c>
      <c r="P20" s="268">
        <f>IF(E19&gt;0.5,D21/P5*费用相关信息!D17%,0)</f>
        <v>0</v>
      </c>
      <c r="R20" s="34" t="e">
        <f>Q18+Q25+P30</f>
        <v>#VALUE!</v>
      </c>
      <c r="S20" s="34" t="e">
        <f>0.0341*R20</f>
        <v>#VALUE!</v>
      </c>
    </row>
    <row r="21" spans="2:19" ht="13.15" customHeight="1" x14ac:dyDescent="0.3">
      <c r="B21" s="194" t="str">
        <f>进出口预算表!C9&amp;"对外报价"</f>
        <v>CIF对外报价</v>
      </c>
      <c r="C21" s="205"/>
      <c r="D21" s="206">
        <f>D27</f>
        <v>223915</v>
      </c>
      <c r="E21" s="207"/>
      <c r="G21" s="1"/>
      <c r="H21" s="322"/>
      <c r="I21" s="266" t="s">
        <v>187</v>
      </c>
      <c r="J21" s="258" t="str">
        <f>C6</f>
        <v>BRL</v>
      </c>
      <c r="K21" s="268">
        <f>IF(OR(C9="CIP",C9="CIF"),保费!C10/进出口预算表!K4,"-")</f>
        <v>4885.7333587640669</v>
      </c>
      <c r="L21" s="255"/>
      <c r="M21" s="325"/>
      <c r="N21" s="166" t="s">
        <v>150</v>
      </c>
      <c r="O21" s="270" t="str">
        <f>C7</f>
        <v>RUB</v>
      </c>
      <c r="P21" s="271">
        <f>VLOOKUP(C7,银行手续费,12,0)</f>
        <v>340</v>
      </c>
    </row>
    <row r="22" spans="2:19" ht="13.15" customHeight="1" x14ac:dyDescent="0.3">
      <c r="B22" s="208" t="s">
        <v>188</v>
      </c>
      <c r="C22" s="209">
        <f>INDEX(十国工厂表!A:O,MATCH(进出口预算表!E6,十国工厂表!A:A,0),MATCH(进出口预算表!B3,十国工厂表!A1:L1,0))</f>
        <v>39.74</v>
      </c>
      <c r="D22" s="210">
        <f>C22*K5</f>
        <v>20.835682000000002</v>
      </c>
      <c r="E22" s="211"/>
      <c r="G22" s="1"/>
      <c r="H22" s="322"/>
      <c r="I22" s="269" t="s">
        <v>164</v>
      </c>
      <c r="J22" s="315">
        <f>IF(OR(进出口预算表!C9="CIP",进出口预算表!C9="CIF"),进出口预算表!C19,"-")</f>
        <v>8.8000000000000007</v>
      </c>
      <c r="K22" s="316"/>
      <c r="L22" s="255"/>
      <c r="M22" s="325"/>
      <c r="N22" s="166" t="s">
        <v>189</v>
      </c>
      <c r="O22" s="270" t="str">
        <f>C7</f>
        <v>RUB</v>
      </c>
      <c r="P22" s="271">
        <f>P19*E15/(1-E15)</f>
        <v>0</v>
      </c>
    </row>
    <row r="23" spans="2:19" ht="13.15" customHeight="1" x14ac:dyDescent="0.3">
      <c r="B23" s="208" t="s">
        <v>190</v>
      </c>
      <c r="C23" s="210"/>
      <c r="D23" s="212">
        <f>F15</f>
        <v>23.57</v>
      </c>
      <c r="E23" s="211"/>
      <c r="G23" s="1"/>
      <c r="H23" s="322"/>
      <c r="I23" s="269" t="s">
        <v>168</v>
      </c>
      <c r="J23" s="317">
        <f>IF(OR(进出口预算表!C9="CIP",进出口预算表!C9="CIF"),进出口预算表!C15,"-")</f>
        <v>1.3</v>
      </c>
      <c r="K23" s="318"/>
      <c r="L23" s="255"/>
      <c r="M23" s="325"/>
      <c r="N23" s="166" t="s">
        <v>191</v>
      </c>
      <c r="O23" s="270" t="str">
        <f>C7</f>
        <v>RUB</v>
      </c>
      <c r="P23" s="271">
        <f>(P19+P22)*E14</f>
        <v>973143.78299120243</v>
      </c>
    </row>
    <row r="24" spans="2:19" ht="13.15" customHeight="1" x14ac:dyDescent="0.3">
      <c r="B24" s="208" t="s">
        <v>192</v>
      </c>
      <c r="C24" s="210"/>
      <c r="D24" s="210">
        <f>E24*P5</f>
        <v>35.378408999999998</v>
      </c>
      <c r="E24" s="213">
        <f>INDEX(十国市场表!A:L,MATCH(进出口预算表!E6,十国市场表!A:A,0),MATCH(进出口预算表!C3,十国市场表!A1:L1,0))</f>
        <v>1037.49</v>
      </c>
      <c r="G24" s="1"/>
      <c r="H24" s="322"/>
      <c r="I24" s="273" t="s">
        <v>172</v>
      </c>
      <c r="J24" s="217" t="str">
        <f>C8</f>
        <v>USD</v>
      </c>
      <c r="K24" s="272">
        <f>IF(OR(C9="CIP",C9="CIF"),保费!C9,"-")</f>
        <v>291089.5</v>
      </c>
      <c r="L24" s="255"/>
      <c r="M24" s="325"/>
      <c r="N24" s="166" t="s">
        <v>193</v>
      </c>
      <c r="O24" s="270" t="str">
        <f>C7</f>
        <v>RUB</v>
      </c>
      <c r="P24" s="271">
        <v>0</v>
      </c>
      <c r="S24" s="34" t="e">
        <f>S20+S16</f>
        <v>#VALUE!</v>
      </c>
    </row>
    <row r="25" spans="2:19" ht="13.15" customHeight="1" x14ac:dyDescent="0.3">
      <c r="B25" s="214" t="s">
        <v>149</v>
      </c>
      <c r="C25" s="198">
        <f>F11</f>
        <v>9500</v>
      </c>
      <c r="D25" s="215" t="s">
        <v>194</v>
      </c>
      <c r="E25" s="216">
        <f>INDEX(十国市场表!A:O,MATCH(进出口预算表!E6,十国市场表!A:A,0),14)</f>
        <v>10000</v>
      </c>
      <c r="G25" s="1"/>
      <c r="H25" s="322"/>
      <c r="I25" s="338" t="s">
        <v>195</v>
      </c>
      <c r="J25" s="274" t="str">
        <f>C6</f>
        <v>BRL</v>
      </c>
      <c r="K25" s="267">
        <f>IF(OR(C9="CIP",C9="CIF"),K8+K14+K18+K21,"-")</f>
        <v>350461.9274348605</v>
      </c>
      <c r="L25" s="255"/>
      <c r="M25" s="324"/>
      <c r="N25" s="214" t="s">
        <v>196</v>
      </c>
      <c r="O25" s="217" t="str">
        <f>C7</f>
        <v>RUB</v>
      </c>
      <c r="P25" s="272">
        <f>SUM(P20:P24)</f>
        <v>973483.78299120243</v>
      </c>
      <c r="Q25" s="34">
        <v>43149075.125320703</v>
      </c>
    </row>
    <row r="26" spans="2:19" ht="13.15" customHeight="1" x14ac:dyDescent="0.3">
      <c r="B26" s="194" t="s">
        <v>197</v>
      </c>
      <c r="C26" s="205">
        <f>C25*C22</f>
        <v>377530</v>
      </c>
      <c r="D26" s="205">
        <f>C26*K5</f>
        <v>197938.97899999999</v>
      </c>
      <c r="E26" s="207"/>
      <c r="F26" s="1"/>
      <c r="G26" s="1"/>
      <c r="H26" s="320"/>
      <c r="I26" s="341"/>
      <c r="J26" s="217" t="str">
        <f>C8</f>
        <v>USD</v>
      </c>
      <c r="K26" s="272">
        <f>IF(K25="-","-",K25*K5)</f>
        <v>183747.18855409735</v>
      </c>
      <c r="L26" s="255"/>
      <c r="M26" s="323">
        <v>9</v>
      </c>
      <c r="N26" s="161" t="s">
        <v>198</v>
      </c>
      <c r="O26" s="258" t="str">
        <f>C7</f>
        <v>RUB</v>
      </c>
      <c r="P26" s="268">
        <f>SUM(P27:P30)</f>
        <v>6566.4222873900299</v>
      </c>
    </row>
    <row r="27" spans="2:19" ht="13.15" customHeight="1" x14ac:dyDescent="0.3">
      <c r="B27" s="166" t="s">
        <v>199</v>
      </c>
      <c r="C27" s="210">
        <f>D27/K5</f>
        <v>427074.19416364678</v>
      </c>
      <c r="D27" s="210">
        <f>D23*C25</f>
        <v>223915</v>
      </c>
      <c r="E27" s="211"/>
      <c r="F27" s="1"/>
      <c r="G27" s="1"/>
      <c r="H27" s="322" t="s">
        <v>200</v>
      </c>
      <c r="I27" s="278" t="s">
        <v>201</v>
      </c>
      <c r="J27" s="326">
        <f>IF(OR(C9="CIP",C9="CIF"),(K31-K26)/K26,IF(OR(C9="CFR",C9="CPT"),(K30-K20)/K20,IF(OR(C9="FOB",C9="FCA"),(K29-K16)/K16,0)))</f>
        <v>0.21860367912011222</v>
      </c>
      <c r="K27" s="327"/>
      <c r="L27" s="255"/>
      <c r="M27" s="325"/>
      <c r="N27" s="166" t="s">
        <v>202</v>
      </c>
      <c r="O27" s="270" t="str">
        <f>C7</f>
        <v>RUB</v>
      </c>
      <c r="P27" s="271" t="str">
        <f>IF(C10="L/C",VLOOKUP(C7,银行手续费,11,0),"-")</f>
        <v>-</v>
      </c>
    </row>
    <row r="28" spans="2:19" ht="13.15" customHeight="1" x14ac:dyDescent="0.3">
      <c r="B28" s="214" t="s">
        <v>203</v>
      </c>
      <c r="C28" s="217"/>
      <c r="D28" s="218">
        <f>E28*P5</f>
        <v>336094.88549999997</v>
      </c>
      <c r="E28" s="219">
        <f>E24*C25</f>
        <v>9856155</v>
      </c>
      <c r="H28" s="322"/>
      <c r="I28" s="279" t="s">
        <v>204</v>
      </c>
      <c r="J28" s="270" t="str">
        <f>C8</f>
        <v>USD</v>
      </c>
      <c r="K28" s="271">
        <f>IF(OR(C9="CIP",C9="CIF"),K31-(K8+K14+K18+K21)*K5,IF(OR(C9="CFR",C9="CPT"),K30-(K8+K14+K18)*K5,IF(OR(C9="FOB",C9="FCA"),K29-(K8+K14)*K5,0)))</f>
        <v>40167.811445902655</v>
      </c>
      <c r="L28" s="255"/>
      <c r="M28" s="325"/>
      <c r="N28" s="166" t="s">
        <v>205</v>
      </c>
      <c r="O28" s="270" t="str">
        <f>C7</f>
        <v>RUB</v>
      </c>
      <c r="P28" s="275" t="str">
        <f>IF(C10="L/C",IF(D21/P5*费用相关信息!S17&gt;VLOOKUP(进出口预算表!C7,银行手续费,7,0),D21/P5*费用相关信息!S17,VLOOKUP(进出口预算表!C7,银行手续费,7,0)),"-")</f>
        <v>-</v>
      </c>
    </row>
    <row r="29" spans="2:19" ht="13.15" customHeight="1" x14ac:dyDescent="0.3">
      <c r="B29" s="220"/>
      <c r="C29" s="221" t="str">
        <f>"出口商货币"&amp;$C$6</f>
        <v>出口商货币BRL</v>
      </c>
      <c r="D29" s="222" t="str">
        <f>"合同货币"&amp;$C$8</f>
        <v>合同货币USD</v>
      </c>
      <c r="E29" s="204" t="str">
        <f>"进口商货币"&amp;$C$7</f>
        <v>进口商货币RUB</v>
      </c>
      <c r="H29" s="322"/>
      <c r="I29" s="269" t="s">
        <v>206</v>
      </c>
      <c r="J29" s="270" t="str">
        <f>C8</f>
        <v>USD</v>
      </c>
      <c r="K29" s="271" t="str">
        <f>IF(OR(C9="FOB",C9="FCA"),D21,"-")</f>
        <v>-</v>
      </c>
      <c r="L29" s="255"/>
      <c r="M29" s="325"/>
      <c r="N29" s="166" t="s">
        <v>207</v>
      </c>
      <c r="O29" s="270" t="str">
        <f>C7</f>
        <v>RUB</v>
      </c>
      <c r="P29" s="271">
        <f>IF(OR(C10="D/A",C10="D/P"),IF(D21/P5*费用相关信息!S18&gt;VLOOKUP(进出口预算表!C7,银行手续费,8,0),D21/P5*费用相关信息!S19,VLOOKUP(进出口预算表!C7,银行手续费,8,0)),"-")</f>
        <v>6566.4222873900299</v>
      </c>
    </row>
    <row r="30" spans="2:19" ht="13.15" customHeight="1" x14ac:dyDescent="0.3">
      <c r="B30" s="223" t="s">
        <v>208</v>
      </c>
      <c r="C30" s="224">
        <f>IF(OR(C9="FOB",C9="FCA"),K8+K14,IF(OR(C9="CFR",C9="CPT"),K8+K14+K18,IF(OR(C9="CIF",C9="CIP"),K8+K14+K18+K21,0)))</f>
        <v>350461.9274348605</v>
      </c>
      <c r="D30" s="225">
        <f>IF(OR(C9="FOB",C9="FCA"),K8+K14,IF(OR(C9="CFR",C9="CPT"),K8+K14+K18,IF(OR(C9="CIF",C9="CIP"),K8+K14+K18+K21,0)))*K5</f>
        <v>183747.18855409735</v>
      </c>
      <c r="E30" s="226"/>
      <c r="F30" s="227" t="s">
        <v>209</v>
      </c>
      <c r="H30" s="322"/>
      <c r="I30" s="269" t="s">
        <v>210</v>
      </c>
      <c r="J30" s="270" t="str">
        <f>C8</f>
        <v>USD</v>
      </c>
      <c r="K30" s="271" t="str">
        <f>IF(OR(C9="CFR",C9="CPT"),D21,"-")</f>
        <v>-</v>
      </c>
      <c r="L30" s="255"/>
      <c r="M30" s="324"/>
      <c r="N30" s="214" t="s">
        <v>211</v>
      </c>
      <c r="O30" s="217" t="str">
        <f>C7</f>
        <v>RUB</v>
      </c>
      <c r="P30" s="280" t="str">
        <f>IF(C10="T/T",IF(MID(C11,1,3)*1&gt;0.9,IF(D21/P5*费用相关信息!S20&gt;VLOOKUP(C7,银行手续费,9,0),D21/P5*费用相关信息!S20,VLOOKUP(C7,银行手续费,9,0)),IF((MID(C11,1,3)*1)*D21/P5*费用相关信息!S20&gt;VLOOKUP(C7,银行手续费,9,0),(MID(C11,1,3)*1)*D21/P5*费用相关信息!S20,VLOOKUP(C7,银行手续费,9,0))+IF(SUM((1-MID(C11,1,3)))*D21/P5*费用相关信息!S20&gt;VLOOKUP(C7,银行手续费,9,0),SUM((1-MID(C11,1,3)))*D21/P5*费用相关信息!S20,VLOOKUP(C7,银行手续费,9,0))),"-")</f>
        <v>-</v>
      </c>
    </row>
    <row r="31" spans="2:19" ht="13.15" customHeight="1" x14ac:dyDescent="0.3">
      <c r="B31" s="228" t="s">
        <v>212</v>
      </c>
      <c r="C31" s="36"/>
      <c r="D31" s="229">
        <f>P32</f>
        <v>288682.81199999998</v>
      </c>
      <c r="E31" s="230">
        <f>P31</f>
        <v>8465771.6129032262</v>
      </c>
      <c r="F31" s="231">
        <f>P18+P25+P26</f>
        <v>1899349.3255131969</v>
      </c>
      <c r="H31" s="320"/>
      <c r="I31" s="273" t="s">
        <v>213</v>
      </c>
      <c r="J31" s="217" t="str">
        <f>C8</f>
        <v>USD</v>
      </c>
      <c r="K31" s="272">
        <f>IF(OR(C9="CIF",C9="CIP"),D21,"-")</f>
        <v>223915</v>
      </c>
      <c r="L31" s="255"/>
      <c r="M31" s="323">
        <v>10</v>
      </c>
      <c r="N31" s="366" t="s">
        <v>214</v>
      </c>
      <c r="O31" s="258" t="str">
        <f>C7</f>
        <v>RUB</v>
      </c>
      <c r="P31" s="268">
        <f>P26+P25+P19</f>
        <v>8465771.6129032262</v>
      </c>
    </row>
    <row r="32" spans="2:19" ht="13.15" customHeight="1" x14ac:dyDescent="0.3">
      <c r="B32" s="232" t="s">
        <v>215</v>
      </c>
      <c r="C32" s="36"/>
      <c r="D32" s="229">
        <f>P34*P5</f>
        <v>47412.073499999984</v>
      </c>
      <c r="E32" s="230">
        <f>P34</f>
        <v>1390383.3870967738</v>
      </c>
      <c r="F32" s="233" t="s">
        <v>216</v>
      </c>
      <c r="H32" s="234"/>
      <c r="I32" s="234"/>
      <c r="J32" s="234"/>
      <c r="K32" s="234"/>
      <c r="L32" s="255"/>
      <c r="M32" s="324"/>
      <c r="N32" s="365"/>
      <c r="O32" s="281" t="str">
        <f>C8</f>
        <v>USD</v>
      </c>
      <c r="P32" s="272">
        <f>P31*P5</f>
        <v>288682.81199999998</v>
      </c>
      <c r="R32" s="34" t="s">
        <v>217</v>
      </c>
    </row>
    <row r="33" spans="2:16" ht="13.15" customHeight="1" x14ac:dyDescent="0.3">
      <c r="B33" s="232" t="s">
        <v>218</v>
      </c>
      <c r="C33" s="235">
        <f>D33/K5</f>
        <v>76612.266728786301</v>
      </c>
      <c r="D33" s="229">
        <f>K28</f>
        <v>40167.811445902655</v>
      </c>
      <c r="E33" s="236"/>
      <c r="F33" s="237">
        <f>运费!G30</f>
        <v>5774</v>
      </c>
      <c r="L33" s="255"/>
      <c r="M33" s="277">
        <v>11</v>
      </c>
      <c r="N33" s="282" t="s">
        <v>219</v>
      </c>
      <c r="O33" s="258" t="str">
        <f>C7</f>
        <v>RUB</v>
      </c>
      <c r="P33" s="268">
        <f>E28</f>
        <v>9856155</v>
      </c>
    </row>
    <row r="34" spans="2:16" ht="13.15" customHeight="1" x14ac:dyDescent="0.3">
      <c r="B34" s="232" t="s">
        <v>220</v>
      </c>
      <c r="C34" s="328">
        <f>O35</f>
        <v>0.16423587248415741</v>
      </c>
      <c r="D34" s="329"/>
      <c r="E34" s="329"/>
      <c r="F34" s="233" t="s">
        <v>221</v>
      </c>
      <c r="L34" s="255"/>
      <c r="M34" s="323">
        <v>12</v>
      </c>
      <c r="N34" s="283" t="s">
        <v>222</v>
      </c>
      <c r="O34" s="270" t="str">
        <f>C7</f>
        <v>RUB</v>
      </c>
      <c r="P34" s="271">
        <f>P33-P31</f>
        <v>1390383.3870967738</v>
      </c>
    </row>
    <row r="35" spans="2:16" ht="13.15" customHeight="1" x14ac:dyDescent="0.3">
      <c r="B35" s="238" t="s">
        <v>223</v>
      </c>
      <c r="C35" s="330">
        <f>J27</f>
        <v>0.21860367912011222</v>
      </c>
      <c r="D35" s="331"/>
      <c r="E35" s="332"/>
      <c r="F35" s="239">
        <f>保费!C10</f>
        <v>2561.59</v>
      </c>
      <c r="H35" s="333" t="s">
        <v>224</v>
      </c>
      <c r="I35" s="334"/>
      <c r="J35" s="334"/>
      <c r="K35" s="335"/>
      <c r="L35" s="255"/>
      <c r="M35" s="325"/>
      <c r="N35" s="284" t="s">
        <v>201</v>
      </c>
      <c r="O35" s="355">
        <f>P34/P31</f>
        <v>0.16423587248415741</v>
      </c>
      <c r="P35" s="356"/>
    </row>
    <row r="36" spans="2:16" ht="13.15" customHeight="1" x14ac:dyDescent="0.3">
      <c r="B36" s="357" t="s">
        <v>225</v>
      </c>
      <c r="C36" s="358"/>
      <c r="D36" s="359"/>
      <c r="H36" s="15" t="s">
        <v>226</v>
      </c>
      <c r="I36" s="5"/>
      <c r="J36" s="5" t="s">
        <v>157</v>
      </c>
      <c r="K36" s="9"/>
      <c r="L36" s="255"/>
      <c r="M36" s="285">
        <v>13</v>
      </c>
      <c r="N36" s="286" t="s">
        <v>227</v>
      </c>
      <c r="O36" s="286" t="s">
        <v>127</v>
      </c>
      <c r="P36" s="287">
        <f>P34*P4</f>
        <v>47412.073499999984</v>
      </c>
    </row>
    <row r="37" spans="2:16" ht="13.15" customHeight="1" x14ac:dyDescent="0.3">
      <c r="B37" s="240" t="s">
        <v>228</v>
      </c>
      <c r="C37" s="241" t="s">
        <v>229</v>
      </c>
      <c r="D37" s="242" t="s">
        <v>144</v>
      </c>
      <c r="H37" s="15" t="s">
        <v>56</v>
      </c>
      <c r="I37" s="5">
        <v>36</v>
      </c>
      <c r="J37" s="5" t="s">
        <v>45</v>
      </c>
      <c r="K37" s="288" t="s">
        <v>230</v>
      </c>
    </row>
    <row r="38" spans="2:16" ht="16.149999999999999" customHeight="1" x14ac:dyDescent="0.3">
      <c r="B38" s="243" t="s">
        <v>231</v>
      </c>
      <c r="C38" s="244">
        <v>0</v>
      </c>
      <c r="D38" s="245">
        <f>IF($C$6="AUD",C38*费用相关信息!D21,IF($C$6="BRL",C38*费用相关信息!E21,IF($C$6="CUP",C38*费用相关信息!F21,IF($C$6="EUR",C38*费用相关信息!G21,IF($C$6="GBP",C38*费用相关信息!H21,IF($C$6="JPY",C38*费用相关信息!I21,IF($C$6="RMB",C38*费用相关信息!J21,IF($C$6="RUB",C38*费用相关信息!K21,IF($C$6="USD",C38*费用相关信息!L21,IF($C$6="ZAR",C38*费用相关信息!M21,0))))))))))</f>
        <v>0</v>
      </c>
      <c r="H38" s="15" t="s">
        <v>38</v>
      </c>
      <c r="I38" s="5">
        <v>33</v>
      </c>
      <c r="J38" s="5" t="s">
        <v>56</v>
      </c>
      <c r="K38" s="9">
        <v>15</v>
      </c>
    </row>
    <row r="39" spans="2:16" ht="31.15" customHeight="1" x14ac:dyDescent="0.3">
      <c r="B39" s="243" t="s">
        <v>232</v>
      </c>
      <c r="C39" s="244">
        <v>0</v>
      </c>
      <c r="D39" s="245">
        <f>IF($C$6="AUD",C39*费用相关信息!D22,IF($C$6="BRL",C39*费用相关信息!E22,IF($C$6="CUP",C39*费用相关信息!F22,IF($C$6="EUR",C39*费用相关信息!G22,IF($C$6="GBP",C39*费用相关信息!H22,IF($C$6="JPY",C39*费用相关信息!I22,IF($C$6="RMB",C39*费用相关信息!J22,IF($C$6="RUB",C39*费用相关信息!K22,IF($C$6="USD",C39*费用相关信息!L22,IF($C$6="ZAR",C39*费用相关信息!M22,0))))))))))</f>
        <v>0</v>
      </c>
      <c r="H39" s="15" t="s">
        <v>45</v>
      </c>
      <c r="I39" s="5">
        <v>32</v>
      </c>
      <c r="J39" s="5" t="s">
        <v>38</v>
      </c>
      <c r="K39" s="9">
        <v>15</v>
      </c>
      <c r="M39" s="282" t="s">
        <v>233</v>
      </c>
      <c r="N39" s="258" t="str">
        <f>C6</f>
        <v>BRL</v>
      </c>
      <c r="O39" s="289" t="str">
        <f>C8</f>
        <v>USD</v>
      </c>
      <c r="P39" s="290" t="str">
        <f>C7</f>
        <v>RUB</v>
      </c>
    </row>
    <row r="40" spans="2:16" ht="15.4" customHeight="1" x14ac:dyDescent="0.3">
      <c r="B40" s="243" t="s">
        <v>234</v>
      </c>
      <c r="C40" s="244">
        <v>0</v>
      </c>
      <c r="D40" s="245">
        <f>IF($C$6="AUD",C40*费用相关信息!D25,IF($C$6="BRL",C40*费用相关信息!E25,IF($C$6="CUP",C40*费用相关信息!F25,IF($C$6="EUR",C40*费用相关信息!G25,IF($C$6="GBP",C40*费用相关信息!H25,IF($C$6="JPY",C40*费用相关信息!I25,IF($C$6="RMB",C40*费用相关信息!J25,IF($C$6="RUB",C40*费用相关信息!K25,IF($C$6="USD",C40*费用相关信息!L25,IF($C$6="ZAR",C40*费用相关信息!M25,0))))))))))</f>
        <v>0</v>
      </c>
      <c r="H40" s="15" t="s">
        <v>64</v>
      </c>
      <c r="I40" s="5">
        <v>29</v>
      </c>
      <c r="J40" s="5" t="s">
        <v>64</v>
      </c>
      <c r="K40" s="9">
        <v>13</v>
      </c>
      <c r="M40" s="291" t="s">
        <v>235</v>
      </c>
      <c r="N40" s="210">
        <f>O40/$K$5</f>
        <v>411175.68186152965</v>
      </c>
      <c r="O40" s="292">
        <f>IF(C9=保费!$A$24,保费!B24,IF(C9=保费!$A$25,保费!B25,IF(C9=保费!$A$26,保费!B26,IF(C9=保费!$A$27,保费!B27,IF(C9=保费!$A$28,保费!B28,IF(C9=保费!$A$29,保费!B29,0))))))</f>
        <v>215579.41</v>
      </c>
      <c r="P40" s="211">
        <f>O40/$P$5</f>
        <v>6321976.8328445749</v>
      </c>
    </row>
    <row r="41" spans="2:16" ht="15.4" customHeight="1" x14ac:dyDescent="0.3">
      <c r="B41" s="243" t="s">
        <v>236</v>
      </c>
      <c r="C41" s="244">
        <v>0</v>
      </c>
      <c r="D41" s="245">
        <f>IF($C$6="AUD",C41*费用相关信息!D28,IF($C$6="BRL",C41*费用相关信息!E28,IF($C$6="CUP",C41*费用相关信息!F28,IF($C$6="EUR",C41*费用相关信息!G28,IF($C$6="GBP",C41*费用相关信息!H28,IF($C$6="JPY",C41*费用相关信息!I28,IF($C$6="RMB",C41*费用相关信息!J28,IF($C$6="RUB",C41*费用相关信息!K28,IF($C$6="USD",C41*费用相关信息!L28,IF($C$6="ZAR",C41*费用相关信息!M28,0))))))))))</f>
        <v>0</v>
      </c>
      <c r="H41" s="15" t="s">
        <v>69</v>
      </c>
      <c r="I41" s="5">
        <v>25</v>
      </c>
      <c r="J41" s="5" t="s">
        <v>11</v>
      </c>
      <c r="K41" s="9">
        <v>11</v>
      </c>
      <c r="M41" s="293" t="s">
        <v>237</v>
      </c>
      <c r="N41" s="210">
        <f>O41/$K$5</f>
        <v>422188.46080488269</v>
      </c>
      <c r="O41" s="292">
        <f>IF(C9=保费!$A$24,保费!C24,IF(C9=保费!$A$25,保费!C25,IF(C9=保费!$A$26,保费!C26,IF(C9=保费!$A$27,保费!C27,IF(C9=保费!$A$28,保费!C28,IF(C9=保费!$A$29,保费!C29,0))))))</f>
        <v>221353.41</v>
      </c>
      <c r="P41" s="211">
        <f>O41/$P$5</f>
        <v>6491302.3460410563</v>
      </c>
    </row>
    <row r="42" spans="2:16" ht="16.149999999999999" customHeight="1" x14ac:dyDescent="0.3">
      <c r="B42" s="243" t="str">
        <f>IF(C7="USD","一般原产地证书","普惠原产地证书")</f>
        <v>普惠原产地证书</v>
      </c>
      <c r="C42" s="246">
        <v>1</v>
      </c>
      <c r="D42" s="245">
        <f>IF($C$6="AUD",C42*费用相关信息!D20,IF($C$6="BRL",C42*费用相关信息!E20,IF($C$6="CUP",C42*费用相关信息!F20,IF($C$6="EUR",C42*费用相关信息!G20,IF($C$6="GBP",C42*费用相关信息!H20,IF($C$6="JPY",C42*费用相关信息!I20,IF($C$6="RMB",C42*费用相关信息!J20,IF($C$6="RUB",C42*费用相关信息!K20,IF($C$6="USD",C42*费用相关信息!L20,IF($C$6="ZAR",C42*费用相关信息!M20,0))))))))))</f>
        <v>12</v>
      </c>
      <c r="H42" s="15" t="s">
        <v>74</v>
      </c>
      <c r="I42" s="5">
        <v>23</v>
      </c>
      <c r="J42" s="5" t="s">
        <v>74</v>
      </c>
      <c r="K42" s="9">
        <v>11</v>
      </c>
      <c r="M42" s="248" t="s">
        <v>238</v>
      </c>
      <c r="N42" s="218">
        <f>O42/$K$5</f>
        <v>427074.19416364678</v>
      </c>
      <c r="O42" s="294">
        <f>IF(C9=保费!$A$24,保费!D24,IF(C9=保费!$A$25,保费!D25,IF(C9=保费!$A$26,保费!D26,IF(C9=保费!$A$27,保费!D27,IF(C9=保费!$A$28,保费!D28,IF(C9=保费!$A$29,保费!D29,0))))))</f>
        <v>223915</v>
      </c>
      <c r="P42" s="219">
        <f>O42/$P$5</f>
        <v>6566422.28739003</v>
      </c>
    </row>
    <row r="43" spans="2:16" ht="30.75" customHeight="1" x14ac:dyDescent="0.3">
      <c r="B43" s="243" t="s">
        <v>239</v>
      </c>
      <c r="C43" s="246">
        <f>IF(OR(E6=21001,E6=40001,E6=21001,E6=40002,E6=6002,E6=6002,F6=6002),1,0)</f>
        <v>0</v>
      </c>
      <c r="D43" s="245">
        <f>VLOOKUP(C6,银行手续费,13,0)*C43</f>
        <v>0</v>
      </c>
      <c r="H43" s="15" t="s">
        <v>11</v>
      </c>
      <c r="I43" s="5">
        <v>17</v>
      </c>
      <c r="J43" s="5" t="s">
        <v>69</v>
      </c>
      <c r="K43" s="9">
        <v>10</v>
      </c>
    </row>
    <row r="44" spans="2:16" ht="13.15" customHeight="1" x14ac:dyDescent="0.3">
      <c r="B44" s="247" t="s">
        <v>240</v>
      </c>
      <c r="C44" s="246">
        <f>IF(C10="T/T",1,0)</f>
        <v>0</v>
      </c>
      <c r="D44" s="245">
        <f>VLOOKUP(C6,银行手续费,14,0)*C44</f>
        <v>0</v>
      </c>
      <c r="H44" s="15" t="s">
        <v>16</v>
      </c>
      <c r="I44" s="5">
        <v>15</v>
      </c>
      <c r="J44" s="5" t="s">
        <v>52</v>
      </c>
      <c r="K44" s="9">
        <v>9</v>
      </c>
    </row>
    <row r="45" spans="2:16" ht="16.149999999999999" customHeight="1" x14ac:dyDescent="0.3">
      <c r="B45" s="248" t="s">
        <v>241</v>
      </c>
      <c r="C45" s="249"/>
      <c r="D45" s="250">
        <f>SUM(D38:D44)</f>
        <v>12</v>
      </c>
      <c r="H45" s="17" t="s">
        <v>52</v>
      </c>
      <c r="I45" s="295">
        <v>14</v>
      </c>
      <c r="J45" s="295" t="s">
        <v>16</v>
      </c>
      <c r="K45" s="296">
        <v>8</v>
      </c>
    </row>
    <row r="49" spans="5:15" ht="13.15" customHeight="1" x14ac:dyDescent="0.35">
      <c r="E49" s="345" t="s">
        <v>242</v>
      </c>
      <c r="F49" s="353" t="s">
        <v>243</v>
      </c>
      <c r="G49" s="354"/>
      <c r="H49" s="354"/>
      <c r="I49" s="354"/>
      <c r="J49" s="354"/>
      <c r="K49" s="354"/>
      <c r="L49" s="354"/>
      <c r="M49" s="354"/>
      <c r="N49" s="354"/>
      <c r="O49" s="354"/>
    </row>
    <row r="50" spans="5:15" ht="13.15" customHeight="1" x14ac:dyDescent="0.35">
      <c r="E50" s="346"/>
      <c r="F50" s="353" t="s">
        <v>244</v>
      </c>
      <c r="G50" s="354"/>
      <c r="H50" s="354"/>
      <c r="I50" s="354"/>
      <c r="J50" s="354"/>
      <c r="K50" s="354"/>
      <c r="L50" s="354"/>
      <c r="M50" s="354"/>
      <c r="N50" s="354"/>
      <c r="O50" s="354"/>
    </row>
    <row r="51" spans="5:15" ht="18.75" customHeight="1" x14ac:dyDescent="0.35">
      <c r="E51" s="346"/>
      <c r="F51" s="353" t="s">
        <v>245</v>
      </c>
      <c r="G51" s="354"/>
      <c r="H51" s="354"/>
      <c r="I51" s="354"/>
      <c r="J51" s="354"/>
      <c r="K51" s="354"/>
      <c r="L51" s="354"/>
      <c r="M51" s="354"/>
      <c r="N51" s="354"/>
      <c r="O51" s="354"/>
    </row>
    <row r="52" spans="5:15" ht="13.15" customHeight="1" x14ac:dyDescent="0.35">
      <c r="E52" s="346"/>
      <c r="F52" s="353" t="s">
        <v>246</v>
      </c>
      <c r="G52" s="354"/>
      <c r="H52" s="354"/>
      <c r="I52" s="354"/>
      <c r="J52" s="354"/>
      <c r="K52" s="354"/>
      <c r="L52" s="354"/>
      <c r="M52" s="354"/>
      <c r="N52" s="354"/>
      <c r="O52" s="354"/>
    </row>
    <row r="53" spans="5:15" ht="13.15" customHeight="1" x14ac:dyDescent="0.35">
      <c r="E53" s="346"/>
      <c r="F53" s="353" t="s">
        <v>247</v>
      </c>
      <c r="G53" s="354"/>
      <c r="H53" s="354"/>
      <c r="I53" s="354"/>
      <c r="J53" s="354"/>
      <c r="K53" s="354"/>
      <c r="L53" s="354"/>
      <c r="M53" s="354"/>
      <c r="N53" s="354"/>
      <c r="O53" s="354"/>
    </row>
    <row r="54" spans="5:15" ht="13.15" customHeight="1" x14ac:dyDescent="0.35">
      <c r="E54" s="346"/>
      <c r="F54" s="353" t="s">
        <v>248</v>
      </c>
      <c r="G54" s="354"/>
      <c r="H54" s="354"/>
      <c r="I54" s="354"/>
      <c r="J54" s="354"/>
      <c r="K54" s="354"/>
      <c r="L54" s="354"/>
      <c r="M54" s="354"/>
      <c r="N54" s="354"/>
      <c r="O54" s="354"/>
    </row>
    <row r="55" spans="5:15" ht="13.15" customHeight="1" x14ac:dyDescent="0.35">
      <c r="E55" s="346"/>
      <c r="F55" s="353" t="s">
        <v>249</v>
      </c>
      <c r="G55" s="354"/>
      <c r="H55" s="354"/>
      <c r="I55" s="354"/>
      <c r="J55" s="354"/>
      <c r="K55" s="354"/>
      <c r="L55" s="354"/>
      <c r="M55" s="354"/>
      <c r="N55" s="354"/>
      <c r="O55" s="354"/>
    </row>
    <row r="56" spans="5:15" ht="13.15" customHeight="1" x14ac:dyDescent="0.35">
      <c r="E56" s="347"/>
      <c r="F56" s="353" t="s">
        <v>250</v>
      </c>
      <c r="G56" s="354"/>
      <c r="H56" s="354"/>
      <c r="I56" s="354"/>
      <c r="J56" s="354"/>
      <c r="K56" s="354"/>
      <c r="L56" s="354"/>
      <c r="M56" s="354"/>
      <c r="N56" s="354"/>
      <c r="O56" s="354"/>
    </row>
  </sheetData>
  <protectedRanges>
    <protectedRange sqref="C15:C18" name="区域2"/>
    <protectedRange sqref="C6:C12 C15:C18 F15:F16 F11 E6 C38:C41" name="区域4"/>
    <protectedRange sqref="C22 B20 E24 C25 C38:C41" name="区域3"/>
    <protectedRange sqref="C6:C12" name="区域1"/>
  </protectedRanges>
  <mergeCells count="48">
    <mergeCell ref="M26:M30"/>
    <mergeCell ref="M31:M32"/>
    <mergeCell ref="M34:M35"/>
    <mergeCell ref="N6:N7"/>
    <mergeCell ref="N8:N9"/>
    <mergeCell ref="N10:N11"/>
    <mergeCell ref="N16:N17"/>
    <mergeCell ref="N31:N32"/>
    <mergeCell ref="B3:B5"/>
    <mergeCell ref="C3:C5"/>
    <mergeCell ref="E49:E56"/>
    <mergeCell ref="F3:F5"/>
    <mergeCell ref="F15:F16"/>
    <mergeCell ref="F52:O52"/>
    <mergeCell ref="F53:O53"/>
    <mergeCell ref="F54:O54"/>
    <mergeCell ref="F55:O55"/>
    <mergeCell ref="F56:O56"/>
    <mergeCell ref="O35:P35"/>
    <mergeCell ref="B36:D36"/>
    <mergeCell ref="F49:O49"/>
    <mergeCell ref="F50:O50"/>
    <mergeCell ref="F51:O51"/>
    <mergeCell ref="J23:K23"/>
    <mergeCell ref="J27:K27"/>
    <mergeCell ref="C34:E34"/>
    <mergeCell ref="C35:E35"/>
    <mergeCell ref="H35:K35"/>
    <mergeCell ref="H9:H26"/>
    <mergeCell ref="H27:H31"/>
    <mergeCell ref="I15:I16"/>
    <mergeCell ref="I17:I18"/>
    <mergeCell ref="I19:I20"/>
    <mergeCell ref="I25:I26"/>
    <mergeCell ref="H2:K2"/>
    <mergeCell ref="M2:P2"/>
    <mergeCell ref="O13:P13"/>
    <mergeCell ref="O14:P14"/>
    <mergeCell ref="J22:K22"/>
    <mergeCell ref="H4:H5"/>
    <mergeCell ref="H6:H8"/>
    <mergeCell ref="M4:M5"/>
    <mergeCell ref="M6:M7"/>
    <mergeCell ref="M8:M9"/>
    <mergeCell ref="M10:M11"/>
    <mergeCell ref="M12:M15"/>
    <mergeCell ref="M16:M17"/>
    <mergeCell ref="M20:M25"/>
  </mergeCells>
  <phoneticPr fontId="35" type="noConversion"/>
  <dataValidations count="10">
    <dataValidation type="list" allowBlank="1" showInputMessage="1" showErrorMessage="1" sqref="C8" xr:uid="{00000000-0002-0000-0200-000001000000}">
      <formula1>"USD,JPY,EUR,GBP"</formula1>
    </dataValidation>
    <dataValidation type="list" allowBlank="1" showInputMessage="1" showErrorMessage="1" sqref="C9" xr:uid="{00000000-0002-0000-0200-000002000000}">
      <formula1>"FOB,CFR,,CIF,FCA,CPT,CIP"</formula1>
    </dataValidation>
    <dataValidation type="list" allowBlank="1" showInputMessage="1" showErrorMessage="1" sqref="C10" xr:uid="{00000000-0002-0000-0200-000003000000}">
      <formula1>结算方式</formula1>
    </dataValidation>
    <dataValidation type="list" allowBlank="1" showInputMessage="1" showErrorMessage="1" prompt="选择运输方式" sqref="C12" xr:uid="{00000000-0002-0000-0200-000005000000}">
      <formula1>运输方式</formula1>
    </dataValidation>
    <dataValidation allowBlank="1" showErrorMessage="1" sqref="B15" xr:uid="{00000000-0002-0000-0200-000006000000}"/>
    <dataValidation type="list" allowBlank="1" showInputMessage="1" showErrorMessage="1" prompt="选择投保加成" sqref="C15" xr:uid="{00000000-0002-0000-0200-000007000000}">
      <formula1>"110%,120%,130%"</formula1>
    </dataValidation>
    <dataValidation type="list" showInputMessage="1" showErrorMessage="1" prompt="选择基本险保险项目" sqref="C16" xr:uid="{00000000-0002-0000-0200-000008000000}">
      <formula1>基本险</formula1>
    </dataValidation>
    <dataValidation type="list" allowBlank="1" showInputMessage="1" showErrorMessage="1" prompt="选择特别附加险保险项目" sqref="C17" xr:uid="{00000000-0002-0000-0200-000009000000}">
      <formula1>特殊附加险</formula1>
    </dataValidation>
    <dataValidation type="list" allowBlank="1" showInputMessage="1" showErrorMessage="1" prompt="罢工险和战争险同时选择只按一个计费" sqref="C18" xr:uid="{00000000-0002-0000-0200-00000A000000}">
      <formula1>特殊附加险</formula1>
    </dataValidation>
    <dataValidation type="list" allowBlank="1" showInputMessage="1" showErrorMessage="1" sqref="C6:C7" xr:uid="{00000000-0002-0000-0200-00000B000000}">
      <formula1>"AUD,BRL,CUP,EUR,GBP,JPY,RMB,RUB,USD,ZAR"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INDEX(十国市场表!$A$215:$J$255,0,MATCH($B$3,国家名字,0))</xm:f>
          </x14:formula1>
          <xm:sqref>E6</xm:sqref>
        </x14:dataValidation>
        <x14:dataValidation type="list" allowBlank="1" showInputMessage="1" showErrorMessage="1" xr:uid="{00000000-0002-0000-0200-000004000000}">
          <x14:formula1>
            <xm:f>INDEX(保费!$A$34:$D$44,0,MATCH($C$10,结算方式,0))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75"/>
  <sheetViews>
    <sheetView workbookViewId="0">
      <selection activeCell="B2" sqref="B2:G12"/>
    </sheetView>
  </sheetViews>
  <sheetFormatPr defaultColWidth="9.69140625" defaultRowHeight="13.15" customHeight="1" x14ac:dyDescent="0.25"/>
  <cols>
    <col min="1" max="1" width="10.4609375" style="126" customWidth="1"/>
    <col min="2" max="2" width="17" style="126" customWidth="1"/>
    <col min="3" max="3" width="16" style="126" customWidth="1"/>
    <col min="4" max="4" width="15.69140625" style="126" customWidth="1"/>
    <col min="5" max="5" width="15.3046875" style="126" customWidth="1"/>
    <col min="6" max="6" width="14.84375" style="126" customWidth="1"/>
    <col min="7" max="8" width="14.4609375" style="126" customWidth="1"/>
    <col min="9" max="9" width="14.15234375" style="126" customWidth="1"/>
    <col min="10" max="10" width="15.15234375" style="126" customWidth="1"/>
    <col min="11" max="11" width="14.15234375" style="126" customWidth="1"/>
    <col min="12" max="12" width="14" style="126" customWidth="1"/>
    <col min="13" max="13" width="11.4609375" style="126" customWidth="1"/>
    <col min="14" max="40" width="9" style="126"/>
  </cols>
  <sheetData>
    <row r="1" spans="1:12" ht="49.5" customHeight="1" x14ac:dyDescent="0.25">
      <c r="A1" s="127"/>
      <c r="B1" s="128"/>
      <c r="C1" s="128"/>
      <c r="D1" s="128"/>
      <c r="E1" s="128"/>
      <c r="F1" s="128"/>
      <c r="G1" s="128"/>
      <c r="H1" s="129"/>
    </row>
    <row r="2" spans="1:12" ht="15.5" customHeight="1" x14ac:dyDescent="0.25">
      <c r="A2" s="130"/>
      <c r="B2" s="302" t="s">
        <v>92</v>
      </c>
      <c r="C2" s="367" t="s">
        <v>110</v>
      </c>
      <c r="D2" s="367"/>
      <c r="E2" s="367"/>
      <c r="F2" s="367"/>
      <c r="G2" s="367"/>
      <c r="H2" s="131"/>
    </row>
    <row r="3" spans="1:12" ht="120.9" customHeight="1" thickBot="1" x14ac:dyDescent="0.3">
      <c r="A3" s="130"/>
      <c r="B3" s="302" t="s">
        <v>2</v>
      </c>
      <c r="C3" s="367" t="s">
        <v>897</v>
      </c>
      <c r="D3" s="367"/>
      <c r="E3" s="367"/>
      <c r="F3" s="367"/>
      <c r="G3" s="367"/>
      <c r="H3" s="131"/>
    </row>
    <row r="4" spans="1:12" ht="23" customHeight="1" x14ac:dyDescent="0.25">
      <c r="A4" s="130"/>
      <c r="B4" s="302" t="s">
        <v>7</v>
      </c>
      <c r="C4" s="302" t="s">
        <v>71</v>
      </c>
      <c r="D4" s="302" t="s">
        <v>72</v>
      </c>
      <c r="E4" s="302" t="s">
        <v>73</v>
      </c>
      <c r="F4" s="367" t="s">
        <v>74</v>
      </c>
      <c r="G4" s="367"/>
      <c r="H4" s="131"/>
      <c r="J4" s="368" t="s">
        <v>251</v>
      </c>
      <c r="K4" s="369"/>
      <c r="L4" s="370"/>
    </row>
    <row r="5" spans="1:12" ht="23" customHeight="1" x14ac:dyDescent="0.25">
      <c r="A5" s="130"/>
      <c r="B5" s="302" t="s">
        <v>12</v>
      </c>
      <c r="C5" s="302" t="s">
        <v>53</v>
      </c>
      <c r="D5" s="302" t="s">
        <v>54</v>
      </c>
      <c r="E5" s="302" t="s">
        <v>55</v>
      </c>
      <c r="F5" s="367" t="s">
        <v>56</v>
      </c>
      <c r="G5" s="367"/>
      <c r="H5" s="131"/>
      <c r="J5" s="371"/>
      <c r="K5" s="372"/>
      <c r="L5" s="373"/>
    </row>
    <row r="6" spans="1:12" ht="13.15" customHeight="1" x14ac:dyDescent="0.25">
      <c r="A6" s="130"/>
      <c r="B6" s="367" t="s">
        <v>87</v>
      </c>
      <c r="C6" s="367" t="s">
        <v>88</v>
      </c>
      <c r="D6" s="367" t="s">
        <v>89</v>
      </c>
      <c r="E6" s="367" t="s">
        <v>90</v>
      </c>
      <c r="F6" s="302" t="s">
        <v>91</v>
      </c>
      <c r="G6" s="302" t="s">
        <v>91</v>
      </c>
      <c r="H6" s="131"/>
      <c r="J6" s="371"/>
      <c r="K6" s="372"/>
      <c r="L6" s="373"/>
    </row>
    <row r="7" spans="1:12" ht="70.25" customHeight="1" thickBot="1" x14ac:dyDescent="0.3">
      <c r="A7" s="130"/>
      <c r="B7" s="367"/>
      <c r="C7" s="367"/>
      <c r="D7" s="367"/>
      <c r="E7" s="367"/>
      <c r="F7" s="302" t="s">
        <v>94</v>
      </c>
      <c r="G7" s="302" t="s">
        <v>95</v>
      </c>
      <c r="H7" s="131"/>
      <c r="J7" s="374"/>
      <c r="K7" s="375"/>
      <c r="L7" s="376"/>
    </row>
    <row r="8" spans="1:12" ht="13.15" customHeight="1" x14ac:dyDescent="0.25">
      <c r="A8" s="130"/>
      <c r="B8" s="302" t="s">
        <v>97</v>
      </c>
      <c r="C8" s="302">
        <v>1447</v>
      </c>
      <c r="D8" s="302">
        <v>2887</v>
      </c>
      <c r="E8" s="302">
        <v>2894</v>
      </c>
      <c r="F8" s="302">
        <v>152</v>
      </c>
      <c r="G8" s="302">
        <v>150</v>
      </c>
      <c r="H8" s="131"/>
    </row>
    <row r="9" spans="1:12" ht="15.5" customHeight="1" x14ac:dyDescent="0.25">
      <c r="A9" s="130"/>
      <c r="B9" s="302" t="s">
        <v>98</v>
      </c>
      <c r="C9" s="302">
        <v>1562</v>
      </c>
      <c r="D9" s="302">
        <v>3118</v>
      </c>
      <c r="E9" s="302">
        <v>3125</v>
      </c>
      <c r="F9" s="302">
        <v>164</v>
      </c>
      <c r="G9" s="302">
        <v>180</v>
      </c>
      <c r="H9" s="131"/>
    </row>
    <row r="10" spans="1:12" ht="15.5" customHeight="1" x14ac:dyDescent="0.25">
      <c r="A10" s="130"/>
      <c r="B10" s="302" t="s">
        <v>99</v>
      </c>
      <c r="C10" s="302">
        <v>0</v>
      </c>
      <c r="D10" s="302">
        <v>0</v>
      </c>
      <c r="E10" s="367"/>
      <c r="F10" s="367"/>
      <c r="G10" s="367"/>
      <c r="H10" s="131"/>
    </row>
    <row r="11" spans="1:12" ht="15.5" customHeight="1" x14ac:dyDescent="0.25">
      <c r="A11" s="130"/>
      <c r="B11" s="302" t="s">
        <v>100</v>
      </c>
      <c r="C11" s="302" t="s">
        <v>103</v>
      </c>
      <c r="D11" s="367" t="s">
        <v>104</v>
      </c>
      <c r="E11" s="367"/>
      <c r="F11" s="367"/>
      <c r="G11" s="367"/>
      <c r="H11" s="131"/>
    </row>
    <row r="12" spans="1:12" ht="13.15" customHeight="1" x14ac:dyDescent="0.25">
      <c r="A12" s="130"/>
      <c r="B12" s="302" t="s">
        <v>31</v>
      </c>
      <c r="C12" s="367">
        <v>5</v>
      </c>
      <c r="D12" s="367"/>
      <c r="E12" s="367"/>
      <c r="F12" s="367"/>
      <c r="G12" s="367"/>
      <c r="H12" s="131"/>
    </row>
    <row r="13" spans="1:12" ht="51.75" customHeight="1" thickBot="1" x14ac:dyDescent="0.3">
      <c r="A13" s="132"/>
      <c r="B13" s="133"/>
      <c r="C13" s="133"/>
      <c r="D13" s="133"/>
      <c r="E13" s="133"/>
      <c r="F13" s="133"/>
      <c r="G13" s="133"/>
      <c r="H13" s="134"/>
    </row>
    <row r="15" spans="1:12" ht="29.25" customHeight="1" x14ac:dyDescent="0.25">
      <c r="A15" s="127"/>
      <c r="B15" s="128"/>
      <c r="C15" s="128"/>
      <c r="D15" s="128"/>
      <c r="E15" s="128"/>
      <c r="F15" s="128"/>
      <c r="G15" s="128"/>
      <c r="H15" s="128"/>
      <c r="I15" s="128"/>
      <c r="J15" s="128"/>
      <c r="K15" s="129"/>
    </row>
    <row r="16" spans="1:12" ht="13.15" customHeight="1" x14ac:dyDescent="0.25">
      <c r="A16" s="130"/>
      <c r="B16" s="301" t="s">
        <v>0</v>
      </c>
      <c r="C16" s="367" t="s">
        <v>77</v>
      </c>
      <c r="D16" s="367"/>
      <c r="E16" s="367"/>
      <c r="F16" s="367"/>
      <c r="G16" s="367"/>
      <c r="H16" s="367"/>
      <c r="I16" s="367"/>
      <c r="J16" s="147"/>
      <c r="K16" s="131"/>
    </row>
    <row r="17" spans="1:12" ht="13.5" customHeight="1" x14ac:dyDescent="0.25">
      <c r="A17" s="130"/>
      <c r="B17" s="301" t="s">
        <v>2</v>
      </c>
      <c r="C17" s="367" t="s">
        <v>890</v>
      </c>
      <c r="D17" s="367"/>
      <c r="E17" s="367"/>
      <c r="F17" s="367"/>
      <c r="G17" s="367"/>
      <c r="H17" s="367"/>
      <c r="I17" s="367"/>
      <c r="J17" s="147"/>
      <c r="K17" s="131"/>
    </row>
    <row r="18" spans="1:12" ht="13.5" customHeight="1" x14ac:dyDescent="0.25">
      <c r="A18" s="130"/>
      <c r="B18" s="301" t="s">
        <v>7</v>
      </c>
      <c r="C18" s="301" t="s">
        <v>61</v>
      </c>
      <c r="D18" s="301" t="s">
        <v>62</v>
      </c>
      <c r="E18" s="301" t="s">
        <v>63</v>
      </c>
      <c r="F18" s="367" t="s">
        <v>64</v>
      </c>
      <c r="G18" s="367"/>
      <c r="H18" s="367"/>
      <c r="I18" s="367"/>
      <c r="J18" s="147"/>
      <c r="K18" s="131"/>
    </row>
    <row r="19" spans="1:12" ht="13.15" customHeight="1" x14ac:dyDescent="0.25">
      <c r="A19" s="130"/>
      <c r="B19" s="301" t="s">
        <v>12</v>
      </c>
      <c r="C19" s="301" t="s">
        <v>13</v>
      </c>
      <c r="D19" s="301" t="s">
        <v>14</v>
      </c>
      <c r="E19" s="301" t="s">
        <v>15</v>
      </c>
      <c r="F19" s="367" t="s">
        <v>16</v>
      </c>
      <c r="G19" s="367"/>
      <c r="H19" s="367"/>
      <c r="I19" s="367"/>
      <c r="J19" s="367"/>
      <c r="K19" s="131"/>
    </row>
    <row r="20" spans="1:12" ht="13.15" customHeight="1" x14ac:dyDescent="0.25">
      <c r="A20" s="130"/>
      <c r="B20" s="301" t="s">
        <v>22</v>
      </c>
      <c r="C20" s="301" t="s">
        <v>23</v>
      </c>
      <c r="D20" s="301" t="s">
        <v>24</v>
      </c>
      <c r="E20" s="301" t="s">
        <v>25</v>
      </c>
      <c r="F20" s="301" t="s">
        <v>26</v>
      </c>
      <c r="G20" s="301" t="s">
        <v>27</v>
      </c>
      <c r="H20" s="301" t="s">
        <v>28</v>
      </c>
      <c r="I20" s="301" t="s">
        <v>29</v>
      </c>
      <c r="J20" s="147"/>
      <c r="K20" s="131"/>
    </row>
    <row r="21" spans="1:12" ht="13.15" customHeight="1" x14ac:dyDescent="0.25">
      <c r="A21" s="130"/>
      <c r="B21" s="301"/>
      <c r="C21" s="301">
        <v>846.4</v>
      </c>
      <c r="D21" s="301">
        <v>52.2</v>
      </c>
      <c r="E21" s="301">
        <v>37.700000000000003</v>
      </c>
      <c r="F21" s="301">
        <v>35.1</v>
      </c>
      <c r="G21" s="301">
        <v>32.4</v>
      </c>
      <c r="H21" s="301" t="s">
        <v>30</v>
      </c>
      <c r="I21" s="301" t="s">
        <v>30</v>
      </c>
      <c r="J21" s="147"/>
      <c r="K21" s="131"/>
    </row>
    <row r="22" spans="1:12" ht="13.15" customHeight="1" x14ac:dyDescent="0.25">
      <c r="A22" s="130"/>
      <c r="B22" s="301" t="s">
        <v>31</v>
      </c>
      <c r="C22" s="367">
        <v>4</v>
      </c>
      <c r="D22" s="367"/>
      <c r="E22" s="367"/>
      <c r="F22" s="367"/>
      <c r="G22" s="367"/>
      <c r="H22" s="367"/>
      <c r="I22" s="367"/>
      <c r="J22" s="147"/>
      <c r="K22" s="131"/>
    </row>
    <row r="23" spans="1:12" ht="31.5" customHeight="1" thickBot="1" x14ac:dyDescent="0.3">
      <c r="A23" s="132"/>
      <c r="B23" s="133"/>
      <c r="C23" s="133"/>
      <c r="D23" s="133"/>
      <c r="E23" s="133"/>
      <c r="F23" s="133"/>
      <c r="G23" s="133"/>
      <c r="H23" s="133"/>
      <c r="I23" s="133"/>
      <c r="J23" s="133"/>
      <c r="K23" s="134"/>
    </row>
    <row r="25" spans="1:12" ht="13.1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3.15" customHeight="1" x14ac:dyDescent="0.25">
      <c r="A26" s="1"/>
      <c r="B26" s="1"/>
      <c r="C26" s="1"/>
      <c r="D26" s="1"/>
      <c r="E26" s="1"/>
      <c r="F26" s="5" t="s">
        <v>156</v>
      </c>
      <c r="G26" s="5" t="s">
        <v>216</v>
      </c>
      <c r="H26" s="1"/>
      <c r="I26" s="1"/>
      <c r="J26" s="1"/>
      <c r="K26" s="1"/>
      <c r="L26" s="1"/>
    </row>
    <row r="27" spans="1:12" ht="13.15" customHeight="1" x14ac:dyDescent="0.25">
      <c r="A27" s="1"/>
      <c r="B27" s="1"/>
      <c r="C27" s="1"/>
      <c r="D27" s="1"/>
      <c r="E27" s="1"/>
      <c r="F27" s="8" t="s">
        <v>252</v>
      </c>
      <c r="G27" s="135">
        <f>D45</f>
        <v>5774</v>
      </c>
      <c r="H27" s="1"/>
      <c r="I27" s="1"/>
      <c r="J27" s="1"/>
      <c r="K27" s="1"/>
      <c r="L27" s="1"/>
    </row>
    <row r="28" spans="1:12" ht="13.15" customHeight="1" x14ac:dyDescent="0.25">
      <c r="A28" s="1"/>
      <c r="B28" s="1"/>
      <c r="C28" s="1"/>
      <c r="D28" s="1"/>
      <c r="E28" s="1"/>
      <c r="F28" s="8" t="s">
        <v>253</v>
      </c>
      <c r="G28" s="135">
        <f>J45</f>
        <v>6236</v>
      </c>
      <c r="H28" s="1"/>
      <c r="I28" s="1"/>
      <c r="J28" s="1"/>
      <c r="K28" s="1"/>
      <c r="L28" s="1"/>
    </row>
    <row r="29" spans="1:12" ht="13.15" customHeight="1" x14ac:dyDescent="0.25">
      <c r="A29" s="1"/>
      <c r="B29" s="1"/>
      <c r="C29" s="1"/>
      <c r="D29" s="1"/>
      <c r="E29" s="1"/>
      <c r="F29" s="8" t="s">
        <v>157</v>
      </c>
      <c r="G29" s="135">
        <f>G44</f>
        <v>591129.9</v>
      </c>
      <c r="H29" s="1"/>
      <c r="I29" s="1"/>
      <c r="J29" s="1"/>
      <c r="K29" s="1"/>
      <c r="L29" s="1"/>
    </row>
    <row r="30" spans="1:12" ht="13.15" customHeight="1" x14ac:dyDescent="0.25">
      <c r="A30" s="1"/>
      <c r="B30" s="1"/>
      <c r="C30" s="1"/>
      <c r="D30" s="1"/>
      <c r="E30" s="1"/>
      <c r="F30" s="136" t="s">
        <v>254</v>
      </c>
      <c r="G30" s="135">
        <f>VLOOKUP(进出口预算表!C12,F27:G29,2,FALSE)</f>
        <v>5774</v>
      </c>
      <c r="H30" s="1"/>
      <c r="I30" s="1">
        <f>VLOOKUP(进出口预算表!C12,F27:G29,2,FALSE)</f>
        <v>5774</v>
      </c>
      <c r="J30" s="1"/>
      <c r="K30" s="1"/>
      <c r="L30" s="1"/>
    </row>
    <row r="31" spans="1:12" ht="13.1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3.15" customHeight="1" x14ac:dyDescent="0.25">
      <c r="A32" s="1"/>
      <c r="B32" s="1"/>
      <c r="C32" s="1"/>
      <c r="D32" s="1"/>
      <c r="E32" s="70" t="s">
        <v>255</v>
      </c>
      <c r="F32" s="5">
        <f>进出口预算表!C25</f>
        <v>9500</v>
      </c>
      <c r="G32" s="70" t="s">
        <v>256</v>
      </c>
      <c r="H32" s="5">
        <f>ROUNDUP(F32/F33,0)</f>
        <v>475</v>
      </c>
      <c r="I32" s="1"/>
      <c r="J32" s="1"/>
      <c r="K32" s="1"/>
      <c r="L32" s="1"/>
    </row>
    <row r="33" spans="1:12" ht="13.15" customHeight="1" x14ac:dyDescent="0.25">
      <c r="A33" s="1"/>
      <c r="B33" s="1"/>
      <c r="C33" s="1"/>
      <c r="D33" s="1"/>
      <c r="E33" s="70" t="s">
        <v>257</v>
      </c>
      <c r="F33" s="5" t="str">
        <f>商品相关信息!S1</f>
        <v xml:space="preserve"> 20 </v>
      </c>
      <c r="G33" s="70" t="s">
        <v>258</v>
      </c>
      <c r="H33" s="20">
        <f>ROUNDUP(MAX(167*H36,H34),2)</f>
        <v>18244.75</v>
      </c>
      <c r="I33" s="1"/>
      <c r="J33" s="1"/>
      <c r="K33" s="1"/>
      <c r="L33" s="1"/>
    </row>
    <row r="34" spans="1:12" ht="13.15" customHeight="1" x14ac:dyDescent="0.25">
      <c r="A34" s="1"/>
      <c r="B34" s="1"/>
      <c r="C34" s="1"/>
      <c r="D34" s="1"/>
      <c r="E34" s="70" t="s">
        <v>259</v>
      </c>
      <c r="F34" s="5">
        <f>商品相关信息!C12</f>
        <v>20</v>
      </c>
      <c r="G34" s="70" t="s">
        <v>260</v>
      </c>
      <c r="H34" s="20">
        <f>H35+(F34-F35)*H32</f>
        <v>9500</v>
      </c>
      <c r="I34" s="1"/>
      <c r="J34" s="1"/>
      <c r="K34" s="1"/>
      <c r="L34" s="1"/>
    </row>
    <row r="35" spans="1:12" ht="13.15" customHeight="1" x14ac:dyDescent="0.25">
      <c r="A35" s="1"/>
      <c r="B35" s="1"/>
      <c r="C35" s="1"/>
      <c r="D35" s="1"/>
      <c r="E35" s="70" t="s">
        <v>261</v>
      </c>
      <c r="F35" s="5">
        <f>商品相关信息!C13</f>
        <v>18</v>
      </c>
      <c r="G35" s="70" t="s">
        <v>262</v>
      </c>
      <c r="H35" s="20">
        <f>F35/F33*F32</f>
        <v>8550</v>
      </c>
      <c r="I35" s="1"/>
      <c r="J35" s="1">
        <f>INT(18.1)</f>
        <v>18</v>
      </c>
      <c r="K35" s="1"/>
      <c r="L35" s="1"/>
    </row>
    <row r="36" spans="1:12" ht="13.15" customHeight="1" x14ac:dyDescent="0.25">
      <c r="A36" s="1"/>
      <c r="B36" s="1"/>
      <c r="C36" s="1"/>
      <c r="D36" s="1"/>
      <c r="E36" s="70" t="s">
        <v>263</v>
      </c>
      <c r="F36" s="5">
        <f>商品相关信息!C14</f>
        <v>0.23</v>
      </c>
      <c r="G36" s="70" t="s">
        <v>264</v>
      </c>
      <c r="H36" s="20">
        <f>F36*H32</f>
        <v>109.25</v>
      </c>
      <c r="I36" s="1"/>
      <c r="J36" s="1"/>
      <c r="K36" s="1"/>
      <c r="L36" s="1"/>
    </row>
    <row r="37" spans="1:12" ht="13.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3.15" customHeight="1" x14ac:dyDescent="0.25">
      <c r="A38" s="1"/>
      <c r="B38" s="1"/>
      <c r="C38" s="136" t="s">
        <v>265</v>
      </c>
      <c r="D38" s="136" t="s">
        <v>127</v>
      </c>
      <c r="E38" s="1"/>
      <c r="F38" s="23"/>
      <c r="G38" s="8" t="s">
        <v>127</v>
      </c>
      <c r="H38" s="1"/>
      <c r="I38" s="136" t="s">
        <v>266</v>
      </c>
      <c r="J38" s="136" t="s">
        <v>127</v>
      </c>
      <c r="K38" s="1"/>
      <c r="L38" s="1"/>
    </row>
    <row r="39" spans="1:12" ht="13.15" customHeight="1" x14ac:dyDescent="0.25">
      <c r="A39" s="1"/>
      <c r="B39" s="1"/>
      <c r="C39" s="137" t="s">
        <v>267</v>
      </c>
      <c r="D39" s="138">
        <f>H36*F8</f>
        <v>16606</v>
      </c>
      <c r="E39" s="1"/>
      <c r="F39" s="5" t="s">
        <v>268</v>
      </c>
      <c r="G39" s="20">
        <f>IF(H33*D21&lt;C21,C21,0)</f>
        <v>0</v>
      </c>
      <c r="H39" s="1"/>
      <c r="I39" s="137" t="s">
        <v>267</v>
      </c>
      <c r="J39" s="138">
        <f>H36*F9</f>
        <v>17917</v>
      </c>
      <c r="K39" s="1"/>
      <c r="L39" s="1"/>
    </row>
    <row r="40" spans="1:12" ht="13.15" customHeight="1" x14ac:dyDescent="0.25">
      <c r="A40" s="1"/>
      <c r="B40" s="1"/>
      <c r="C40" s="137" t="s">
        <v>269</v>
      </c>
      <c r="D40" s="138">
        <f>H34/1000*G8</f>
        <v>1425</v>
      </c>
      <c r="E40" s="1"/>
      <c r="F40" s="5" t="s">
        <v>270</v>
      </c>
      <c r="G40" s="20">
        <f>IF(D21*H33&gt;C21,IF(H33&lt;45,D21*H33,0),0)</f>
        <v>0</v>
      </c>
      <c r="H40" s="1"/>
      <c r="I40" s="137" t="s">
        <v>269</v>
      </c>
      <c r="J40" s="138">
        <f>H34/1000*G9</f>
        <v>1710</v>
      </c>
      <c r="K40" s="1"/>
      <c r="L40" s="1"/>
    </row>
    <row r="41" spans="1:12" ht="13.15" customHeight="1" x14ac:dyDescent="0.25">
      <c r="A41" s="1"/>
      <c r="B41" s="1"/>
      <c r="C41" s="139" t="s">
        <v>271</v>
      </c>
      <c r="D41" s="138">
        <f>MAX(D39:D40)</f>
        <v>16606</v>
      </c>
      <c r="E41" s="1"/>
      <c r="F41" s="5" t="s">
        <v>272</v>
      </c>
      <c r="G41" s="20">
        <f>IF(45&lt;=H33,IF(H33&lt;100,H33*E21,0),0)</f>
        <v>0</v>
      </c>
      <c r="H41" s="1"/>
      <c r="I41" s="139" t="s">
        <v>273</v>
      </c>
      <c r="J41" s="138">
        <f>MAX(J39:J40)</f>
        <v>17917</v>
      </c>
      <c r="K41" s="1"/>
      <c r="L41" s="1"/>
    </row>
    <row r="42" spans="1:12" ht="13.15" customHeight="1" x14ac:dyDescent="0.25">
      <c r="A42" s="1"/>
      <c r="B42" s="1"/>
      <c r="C42" s="70" t="s">
        <v>274</v>
      </c>
      <c r="D42" s="138">
        <f>C52*C8</f>
        <v>5788</v>
      </c>
      <c r="E42" s="1"/>
      <c r="F42" s="5" t="s">
        <v>275</v>
      </c>
      <c r="G42" s="20">
        <f>IF(300&gt;H33,IF(H33&gt;=100,H33*F21,0),0)</f>
        <v>0</v>
      </c>
      <c r="H42" s="1"/>
      <c r="I42" s="70" t="s">
        <v>276</v>
      </c>
      <c r="J42" s="138">
        <f>I52*C9</f>
        <v>7810</v>
      </c>
      <c r="K42" s="1"/>
      <c r="L42" s="1"/>
    </row>
    <row r="43" spans="1:12" ht="13.15" customHeight="1" x14ac:dyDescent="0.25">
      <c r="A43" s="1"/>
      <c r="B43" s="1"/>
      <c r="C43" s="70" t="s">
        <v>277</v>
      </c>
      <c r="D43" s="138">
        <f>D52*D8</f>
        <v>5774</v>
      </c>
      <c r="E43" s="1"/>
      <c r="F43" s="5" t="s">
        <v>278</v>
      </c>
      <c r="G43" s="20">
        <f>IF(100000&gt;H33,IF(H33&gt;=300,H33*G21,0),0)</f>
        <v>591129.9</v>
      </c>
      <c r="H43" s="1"/>
      <c r="I43" s="70" t="s">
        <v>279</v>
      </c>
      <c r="J43" s="138">
        <f>J52*D9</f>
        <v>6236</v>
      </c>
      <c r="K43" s="1"/>
      <c r="L43" s="1"/>
    </row>
    <row r="44" spans="1:12" ht="13.15" customHeight="1" x14ac:dyDescent="0.25">
      <c r="A44" s="1"/>
      <c r="B44" s="1"/>
      <c r="C44" s="70" t="s">
        <v>280</v>
      </c>
      <c r="D44" s="138">
        <f>E52*E8</f>
        <v>5788</v>
      </c>
      <c r="E44" s="1"/>
      <c r="F44" s="4" t="s">
        <v>281</v>
      </c>
      <c r="G44" s="140">
        <f>MAX(G39:G43)</f>
        <v>591129.9</v>
      </c>
      <c r="H44" s="1"/>
      <c r="I44" s="70" t="s">
        <v>282</v>
      </c>
      <c r="J44" s="138">
        <f>K52*E9</f>
        <v>6250</v>
      </c>
      <c r="K44" s="1"/>
      <c r="L44" s="1"/>
    </row>
    <row r="45" spans="1:12" ht="13.15" customHeight="1" x14ac:dyDescent="0.25">
      <c r="A45" s="1"/>
      <c r="B45" s="1"/>
      <c r="C45" s="139" t="s">
        <v>283</v>
      </c>
      <c r="D45" s="141">
        <f>MIN(D41:D44)</f>
        <v>5774</v>
      </c>
      <c r="E45" s="1" t="str">
        <f>IF(D45=D41,"LCL",IF(D45=D42,"20’普柜",IF(D45=D43,"40’普柜",IF(D45=D44,"40’高柜",0))))</f>
        <v>40’普柜</v>
      </c>
      <c r="F45" s="1"/>
      <c r="G45" s="1"/>
      <c r="H45" s="1"/>
      <c r="I45" s="139" t="s">
        <v>284</v>
      </c>
      <c r="J45" s="141">
        <f>MIN(J41:J44)</f>
        <v>6236</v>
      </c>
      <c r="K45" s="1" t="str">
        <f>IF(J45=J41,"LCL冷藏",IF(J45=J42,"20’冻柜",IF(J45=J43,"40’冻柜",IF(J45=J44,"40’高冻柜",0))))</f>
        <v>40’冻柜</v>
      </c>
      <c r="L45" s="1"/>
    </row>
    <row r="46" spans="1:12" ht="13.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3.15" customHeight="1" x14ac:dyDescent="0.25">
      <c r="A47" s="1"/>
      <c r="B47" s="136" t="s">
        <v>265</v>
      </c>
      <c r="C47" s="8" t="s">
        <v>285</v>
      </c>
      <c r="D47" s="8" t="s">
        <v>286</v>
      </c>
      <c r="E47" s="8" t="s">
        <v>287</v>
      </c>
      <c r="F47" s="1"/>
      <c r="G47" s="1"/>
      <c r="H47" s="136" t="s">
        <v>266</v>
      </c>
      <c r="I47" s="8" t="s">
        <v>288</v>
      </c>
      <c r="J47" s="8" t="s">
        <v>289</v>
      </c>
      <c r="K47" s="8" t="s">
        <v>290</v>
      </c>
      <c r="L47" s="1"/>
    </row>
    <row r="48" spans="1:12" ht="13.15" customHeight="1" x14ac:dyDescent="0.25">
      <c r="A48" s="1"/>
      <c r="B48" s="70" t="s">
        <v>291</v>
      </c>
      <c r="C48" s="8">
        <v>33</v>
      </c>
      <c r="D48" s="8">
        <v>67</v>
      </c>
      <c r="E48" s="8">
        <v>76</v>
      </c>
      <c r="F48" s="32" t="s">
        <v>156</v>
      </c>
      <c r="G48" s="36" t="str">
        <f>IF(G30=G27,"海运普通",IF(G30=G28,"海运冷藏",IF(G30=G29,"空运",0)))</f>
        <v>海运普通</v>
      </c>
      <c r="H48" s="70" t="s">
        <v>291</v>
      </c>
      <c r="I48" s="8">
        <v>27</v>
      </c>
      <c r="J48" s="8">
        <v>58</v>
      </c>
      <c r="K48" s="8">
        <v>66</v>
      </c>
      <c r="L48" s="1"/>
    </row>
    <row r="49" spans="1:13" ht="13.15" customHeight="1" x14ac:dyDescent="0.25">
      <c r="A49" s="1"/>
      <c r="B49" s="70" t="s">
        <v>292</v>
      </c>
      <c r="C49" s="8">
        <v>25</v>
      </c>
      <c r="D49" s="8">
        <v>29</v>
      </c>
      <c r="E49" s="8">
        <v>29</v>
      </c>
      <c r="F49" s="32" t="s">
        <v>161</v>
      </c>
      <c r="G49" s="36" t="str">
        <f>IF(G30=D45,E45,IF(G30=J45,K45,"空运"))</f>
        <v>40’普柜</v>
      </c>
      <c r="H49" s="70" t="s">
        <v>292</v>
      </c>
      <c r="I49" s="8">
        <v>21</v>
      </c>
      <c r="J49" s="8">
        <v>26</v>
      </c>
      <c r="K49" s="8">
        <v>26</v>
      </c>
      <c r="L49" s="1"/>
    </row>
    <row r="50" spans="1:13" ht="13.15" customHeight="1" x14ac:dyDescent="0.25">
      <c r="A50" s="1"/>
      <c r="B50" s="70" t="s">
        <v>293</v>
      </c>
      <c r="C50" s="142">
        <f>MIN(INT(C48/$F$36),INT(C49/$F$34*1000))</f>
        <v>143</v>
      </c>
      <c r="D50" s="142">
        <f>MIN(INT(D48/$F$36),INT(D49/$F$34*1000))</f>
        <v>291</v>
      </c>
      <c r="E50" s="142">
        <f>MIN(INT(E48/$F$36),INT(E49/$F$34*1000))</f>
        <v>330</v>
      </c>
      <c r="F50" s="32" t="s">
        <v>165</v>
      </c>
      <c r="G50" s="36">
        <f>IF(进出口预算表!C13=C47,C52,IF(进出口预算表!C13=D47,D52,IF(进出口预算表!C13=E47,E52,IF(进出口预算表!C13=I47,I52,IF(进出口预算表!C13=J47,J52,IF(进出口预算表!C13=K47,K52,"无"))))))</f>
        <v>2</v>
      </c>
      <c r="H50" s="70" t="s">
        <v>293</v>
      </c>
      <c r="I50" s="142">
        <f>MIN(INT(I48/$F$36),INT(I49/$F$34*1000))</f>
        <v>117</v>
      </c>
      <c r="J50" s="142">
        <f>MIN(INT(J48/$F$36),INT(J49/$F$34*1000))</f>
        <v>252</v>
      </c>
      <c r="K50" s="142">
        <f>MIN(INT(K48/$F$36),INT(K49/$F$34*1000))</f>
        <v>286</v>
      </c>
      <c r="L50" s="1"/>
    </row>
    <row r="51" spans="1:13" ht="13.15" customHeight="1" x14ac:dyDescent="0.25">
      <c r="A51" s="1"/>
      <c r="B51" s="70" t="s">
        <v>294</v>
      </c>
      <c r="C51" s="138">
        <f>$F$32/(C50*$F$33)</f>
        <v>3.3216783216783217</v>
      </c>
      <c r="D51" s="138">
        <f>$F$32/(D50*$F$33)</f>
        <v>1.6323024054982818</v>
      </c>
      <c r="E51" s="138">
        <f>$F$32/(E50*$F$33)</f>
        <v>1.4393939393939394</v>
      </c>
      <c r="F51" s="1"/>
      <c r="G51" s="1"/>
      <c r="H51" s="70" t="s">
        <v>294</v>
      </c>
      <c r="I51" s="138">
        <f>$F$32/(I50*$F$33)</f>
        <v>4.0598290598290596</v>
      </c>
      <c r="J51" s="138">
        <f>ROUNDUP(MAX(H34/1000/26,H36/58),0)</f>
        <v>2</v>
      </c>
      <c r="K51" s="138">
        <f>$F$32/(K50*$F$33)</f>
        <v>1.6608391608391608</v>
      </c>
      <c r="L51" s="1"/>
    </row>
    <row r="52" spans="1:13" ht="13.15" customHeight="1" x14ac:dyDescent="0.25">
      <c r="A52" s="1"/>
      <c r="B52" s="70" t="s">
        <v>165</v>
      </c>
      <c r="C52" s="138">
        <f>ROUNDUP(MAX(H34/1000/25,H36/33),0)</f>
        <v>4</v>
      </c>
      <c r="D52" s="138">
        <f>ROUNDUP(MAX(H34/1000/29,H36/67),0)</f>
        <v>2</v>
      </c>
      <c r="E52" s="138">
        <f>ROUNDUP(MAX(H34/1000/29,H36/76),0)</f>
        <v>2</v>
      </c>
      <c r="F52" s="1"/>
      <c r="G52" s="1"/>
      <c r="H52" s="70" t="s">
        <v>165</v>
      </c>
      <c r="I52" s="138">
        <f>ROUNDUP(MAX(H34/1000/21,H36/27),0)</f>
        <v>5</v>
      </c>
      <c r="J52" s="138">
        <f>ROUNDUP(J51,0)</f>
        <v>2</v>
      </c>
      <c r="K52" s="138">
        <f>ROUNDUP(MAX(H34/1000/26,H36/66),0)</f>
        <v>2</v>
      </c>
      <c r="L52" s="1"/>
    </row>
    <row r="53" spans="1:13" ht="13.1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3" ht="13.15" customHeight="1" x14ac:dyDescent="0.25">
      <c r="A54" s="1"/>
      <c r="B54" s="1"/>
      <c r="C54" s="1"/>
      <c r="D54" s="1"/>
      <c r="E54" s="1"/>
      <c r="F54" s="1"/>
      <c r="G54" s="1">
        <f>$F$32/(E50*$F$33)</f>
        <v>1.4393939393939394</v>
      </c>
      <c r="H54" s="1"/>
      <c r="I54" s="1"/>
      <c r="J54" s="1"/>
      <c r="K54" s="1"/>
      <c r="L54" s="1"/>
    </row>
    <row r="55" spans="1:13" ht="13.15" customHeight="1" x14ac:dyDescent="0.25">
      <c r="A55" s="1"/>
      <c r="B55" s="1"/>
      <c r="C55" s="1"/>
      <c r="D55" s="1"/>
      <c r="E55" s="1"/>
      <c r="F55" s="143"/>
      <c r="G55" s="1"/>
      <c r="H55" s="1"/>
      <c r="I55" s="1"/>
      <c r="J55" s="1"/>
      <c r="K55" s="1"/>
      <c r="L55" s="1"/>
    </row>
    <row r="56" spans="1:13" ht="13.1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3" ht="13.1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3" ht="13.15" customHeight="1" x14ac:dyDescent="0.25">
      <c r="A58" s="144"/>
      <c r="E58" s="145"/>
    </row>
    <row r="63" spans="1:13" ht="13.15" customHeight="1" x14ac:dyDescent="0.25">
      <c r="F63" s="146"/>
      <c r="G63" s="146"/>
      <c r="H63" s="146"/>
      <c r="I63" s="146"/>
      <c r="J63" s="146"/>
      <c r="K63" s="146"/>
      <c r="L63" s="146"/>
      <c r="M63" s="146"/>
    </row>
    <row r="75" spans="1:1" ht="13.15" customHeight="1" x14ac:dyDescent="0.25">
      <c r="A75" s="144"/>
    </row>
  </sheetData>
  <mergeCells count="17">
    <mergeCell ref="F19:J19"/>
    <mergeCell ref="C22:I22"/>
    <mergeCell ref="B6:B7"/>
    <mergeCell ref="C6:C7"/>
    <mergeCell ref="D6:D7"/>
    <mergeCell ref="E6:E7"/>
    <mergeCell ref="J4:L7"/>
    <mergeCell ref="D11:G11"/>
    <mergeCell ref="C12:G12"/>
    <mergeCell ref="C16:I16"/>
    <mergeCell ref="C17:I17"/>
    <mergeCell ref="F18:I18"/>
    <mergeCell ref="C2:G2"/>
    <mergeCell ref="C3:G3"/>
    <mergeCell ref="F4:G4"/>
    <mergeCell ref="F5:G5"/>
    <mergeCell ref="E10:G10"/>
  </mergeCells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N98"/>
  <sheetViews>
    <sheetView workbookViewId="0">
      <selection activeCell="B2" sqref="B2:C17"/>
    </sheetView>
  </sheetViews>
  <sheetFormatPr defaultColWidth="9.69140625" defaultRowHeight="13.15" customHeight="1" x14ac:dyDescent="0.25"/>
  <cols>
    <col min="1" max="1" width="8.69140625" style="1" customWidth="1"/>
    <col min="2" max="2" width="23" style="1" customWidth="1"/>
    <col min="3" max="3" width="29.15234375" style="1" customWidth="1"/>
    <col min="4" max="4" width="10.3046875" style="1" customWidth="1"/>
    <col min="5" max="5" width="9.3046875" style="1" customWidth="1"/>
    <col min="6" max="6" width="14.15234375" style="1" customWidth="1"/>
    <col min="7" max="40" width="9" style="1"/>
  </cols>
  <sheetData>
    <row r="1" spans="1:19" ht="28.5" customHeight="1" thickBot="1" x14ac:dyDescent="0.3">
      <c r="A1" s="109"/>
      <c r="B1" s="110"/>
      <c r="C1" s="110"/>
      <c r="D1" s="111"/>
      <c r="R1" s="378" t="s">
        <v>295</v>
      </c>
      <c r="S1" s="381" t="str">
        <f>S4</f>
        <v xml:space="preserve"> 20 </v>
      </c>
    </row>
    <row r="2" spans="1:19" ht="20" customHeight="1" thickBot="1" x14ac:dyDescent="0.45">
      <c r="A2" s="112"/>
      <c r="B2" s="303" t="s">
        <v>296</v>
      </c>
      <c r="C2" s="304">
        <v>19006</v>
      </c>
      <c r="D2" s="113"/>
      <c r="F2" s="114" t="s">
        <v>297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20"/>
      <c r="R2" s="379"/>
      <c r="S2" s="382"/>
    </row>
    <row r="3" spans="1:19" ht="15.5" customHeight="1" thickBot="1" x14ac:dyDescent="0.3">
      <c r="A3" s="112"/>
      <c r="B3" s="305" t="s">
        <v>298</v>
      </c>
      <c r="C3" s="306" t="s">
        <v>538</v>
      </c>
      <c r="D3" s="113"/>
      <c r="R3" s="380"/>
      <c r="S3" s="383"/>
    </row>
    <row r="4" spans="1:19" ht="15.5" customHeight="1" thickBot="1" x14ac:dyDescent="0.4">
      <c r="A4" s="112"/>
      <c r="B4" s="305" t="s">
        <v>300</v>
      </c>
      <c r="C4" s="306" t="s">
        <v>891</v>
      </c>
      <c r="D4" s="113"/>
      <c r="F4" s="1" t="s">
        <v>301</v>
      </c>
      <c r="G4" s="116" t="s">
        <v>302</v>
      </c>
      <c r="R4" s="1" t="str">
        <f>MID(C11,9,7)</f>
        <v xml:space="preserve"> 20 个销售</v>
      </c>
      <c r="S4" s="121" t="str">
        <f>MIDB(R4,SEARCHB("?",R4),2*LEN(R4)-LENB(R4))</f>
        <v xml:space="preserve"> 20 </v>
      </c>
    </row>
    <row r="5" spans="1:19" ht="45.25" customHeight="1" thickBot="1" x14ac:dyDescent="0.3">
      <c r="A5" s="112"/>
      <c r="B5" s="305" t="s">
        <v>303</v>
      </c>
      <c r="C5" s="306" t="s">
        <v>892</v>
      </c>
      <c r="D5" s="113"/>
    </row>
    <row r="6" spans="1:19" ht="60.75" customHeight="1" thickBot="1" x14ac:dyDescent="0.3">
      <c r="A6" s="112"/>
      <c r="B6" s="305" t="s">
        <v>304</v>
      </c>
      <c r="C6" s="306" t="s">
        <v>893</v>
      </c>
      <c r="D6" s="113"/>
    </row>
    <row r="7" spans="1:19" ht="15.5" customHeight="1" thickBot="1" x14ac:dyDescent="0.3">
      <c r="A7" s="112"/>
      <c r="B7" s="305" t="s">
        <v>305</v>
      </c>
      <c r="C7" s="306" t="s">
        <v>894</v>
      </c>
      <c r="D7" s="113"/>
    </row>
    <row r="8" spans="1:19" ht="14.25" customHeight="1" thickBot="1" x14ac:dyDescent="0.3">
      <c r="A8" s="112"/>
      <c r="B8" s="305" t="s">
        <v>306</v>
      </c>
      <c r="C8" s="306">
        <v>6403200090</v>
      </c>
      <c r="D8" s="113"/>
    </row>
    <row r="9" spans="1:19" ht="14.25" customHeight="1" thickBot="1" x14ac:dyDescent="0.3">
      <c r="A9" s="112"/>
      <c r="B9" s="305" t="s">
        <v>307</v>
      </c>
      <c r="C9" s="306" t="s">
        <v>895</v>
      </c>
      <c r="D9" s="113"/>
    </row>
    <row r="10" spans="1:19" ht="14.25" customHeight="1" thickBot="1" x14ac:dyDescent="0.3">
      <c r="A10" s="112"/>
      <c r="B10" s="305" t="s">
        <v>308</v>
      </c>
      <c r="C10" s="306" t="s">
        <v>309</v>
      </c>
      <c r="D10" s="113"/>
    </row>
    <row r="11" spans="1:19" ht="14.25" customHeight="1" thickBot="1" x14ac:dyDescent="0.3">
      <c r="A11" s="112"/>
      <c r="B11" s="305" t="s">
        <v>310</v>
      </c>
      <c r="C11" s="306" t="s">
        <v>896</v>
      </c>
      <c r="D11" s="113"/>
    </row>
    <row r="12" spans="1:19" ht="15.5" customHeight="1" thickBot="1" x14ac:dyDescent="0.3">
      <c r="A12" s="112"/>
      <c r="B12" s="305" t="s">
        <v>311</v>
      </c>
      <c r="C12" s="306">
        <v>20</v>
      </c>
      <c r="D12" s="113"/>
    </row>
    <row r="13" spans="1:19" ht="15.5" customHeight="1" thickBot="1" x14ac:dyDescent="0.3">
      <c r="A13" s="112"/>
      <c r="B13" s="305" t="s">
        <v>312</v>
      </c>
      <c r="C13" s="306">
        <v>18</v>
      </c>
      <c r="D13" s="113"/>
    </row>
    <row r="14" spans="1:19" ht="14.25" customHeight="1" thickBot="1" x14ac:dyDescent="0.3">
      <c r="A14" s="112"/>
      <c r="B14" s="305" t="s">
        <v>313</v>
      </c>
      <c r="C14" s="306">
        <v>0.23</v>
      </c>
      <c r="D14" s="113"/>
    </row>
    <row r="15" spans="1:19" ht="14.25" customHeight="1" thickBot="1" x14ac:dyDescent="0.3">
      <c r="A15" s="112"/>
      <c r="B15" s="305" t="s">
        <v>314</v>
      </c>
      <c r="C15" s="306" t="s">
        <v>226</v>
      </c>
      <c r="D15" s="113"/>
    </row>
    <row r="16" spans="1:19" ht="14.25" customHeight="1" thickBot="1" x14ac:dyDescent="0.3">
      <c r="A16" s="112"/>
      <c r="B16" s="305" t="s">
        <v>315</v>
      </c>
      <c r="C16" s="306" t="s">
        <v>316</v>
      </c>
      <c r="D16" s="113"/>
    </row>
    <row r="17" spans="1:4" ht="14.25" customHeight="1" thickBot="1" x14ac:dyDescent="0.3">
      <c r="A17" s="112"/>
      <c r="B17" s="305" t="s">
        <v>317</v>
      </c>
      <c r="C17" s="306"/>
      <c r="D17" s="113"/>
    </row>
    <row r="18" spans="1:4" ht="43.5" customHeight="1" thickBot="1" x14ac:dyDescent="0.3">
      <c r="A18" s="117"/>
      <c r="B18" s="118"/>
      <c r="C18" s="118"/>
      <c r="D18" s="119"/>
    </row>
    <row r="19" spans="1:4" ht="12.75" customHeight="1" x14ac:dyDescent="0.25"/>
    <row r="20" spans="1:4" ht="30" customHeight="1" x14ac:dyDescent="0.25"/>
    <row r="22" spans="1:4" ht="14.25" customHeight="1" x14ac:dyDescent="0.25"/>
    <row r="23" spans="1:4" ht="30" customHeight="1" x14ac:dyDescent="0.25"/>
    <row r="24" spans="1:4" ht="32.25" customHeight="1" x14ac:dyDescent="0.25"/>
    <row r="94" spans="1:13" ht="13.15" customHeight="1" x14ac:dyDescent="0.25">
      <c r="A94" s="109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1"/>
    </row>
    <row r="95" spans="1:13" ht="13.15" customHeight="1" x14ac:dyDescent="0.25">
      <c r="A95" s="112"/>
      <c r="B95" s="377" t="s">
        <v>318</v>
      </c>
      <c r="C95" s="377" t="s">
        <v>135</v>
      </c>
      <c r="D95" s="377" t="s">
        <v>319</v>
      </c>
      <c r="E95" s="377"/>
      <c r="F95" s="377" t="s">
        <v>320</v>
      </c>
      <c r="G95" s="377" t="s">
        <v>321</v>
      </c>
      <c r="H95" s="377" t="s">
        <v>170</v>
      </c>
      <c r="I95" s="377"/>
      <c r="J95" s="377" t="s">
        <v>322</v>
      </c>
      <c r="K95" s="377" t="s">
        <v>323</v>
      </c>
      <c r="L95" s="377" t="s">
        <v>178</v>
      </c>
      <c r="M95" s="113"/>
    </row>
    <row r="96" spans="1:13" ht="13.15" customHeight="1" x14ac:dyDescent="0.25">
      <c r="A96" s="112"/>
      <c r="B96" s="377"/>
      <c r="C96" s="377"/>
      <c r="D96" s="122" t="s">
        <v>316</v>
      </c>
      <c r="E96" s="122" t="s">
        <v>324</v>
      </c>
      <c r="F96" s="377"/>
      <c r="G96" s="377"/>
      <c r="H96" s="122" t="s">
        <v>325</v>
      </c>
      <c r="I96" s="122" t="s">
        <v>326</v>
      </c>
      <c r="J96" s="377"/>
      <c r="K96" s="377"/>
      <c r="L96" s="377"/>
      <c r="M96" s="113"/>
    </row>
    <row r="97" spans="1:13" ht="13.15" customHeight="1" x14ac:dyDescent="0.25">
      <c r="A97" s="112"/>
      <c r="B97" s="123">
        <v>66011000</v>
      </c>
      <c r="C97" s="123" t="s">
        <v>327</v>
      </c>
      <c r="D97" s="124">
        <v>130</v>
      </c>
      <c r="E97" s="124">
        <v>6</v>
      </c>
      <c r="F97" s="124">
        <v>0</v>
      </c>
      <c r="G97" s="124">
        <v>13</v>
      </c>
      <c r="H97" s="124">
        <v>0</v>
      </c>
      <c r="I97" s="124">
        <v>0</v>
      </c>
      <c r="J97" s="124">
        <v>13</v>
      </c>
      <c r="K97" s="123" t="s">
        <v>328</v>
      </c>
      <c r="L97" s="125"/>
      <c r="M97" s="113"/>
    </row>
    <row r="98" spans="1:13" ht="13.15" customHeight="1" x14ac:dyDescent="0.25">
      <c r="A98" s="117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9"/>
    </row>
  </sheetData>
  <mergeCells count="11">
    <mergeCell ref="J95:J96"/>
    <mergeCell ref="K95:K96"/>
    <mergeCell ref="L95:L96"/>
    <mergeCell ref="R1:R3"/>
    <mergeCell ref="S1:S3"/>
    <mergeCell ref="D95:E95"/>
    <mergeCell ref="H95:I95"/>
    <mergeCell ref="B95:B96"/>
    <mergeCell ref="C95:C96"/>
    <mergeCell ref="F95:F96"/>
    <mergeCell ref="G95:G96"/>
  </mergeCells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N110"/>
  <sheetViews>
    <sheetView topLeftCell="A4" workbookViewId="0">
      <selection activeCell="G19" sqref="G19"/>
    </sheetView>
  </sheetViews>
  <sheetFormatPr defaultColWidth="9.69140625" defaultRowHeight="13.15" customHeight="1" x14ac:dyDescent="0.35"/>
  <cols>
    <col min="1" max="1" width="8.84375" style="100"/>
    <col min="2" max="2" width="5.69140625" style="100" customWidth="1"/>
    <col min="3" max="3" width="11.69140625" style="100" customWidth="1"/>
    <col min="4" max="4" width="5.69140625" style="100" customWidth="1"/>
    <col min="5" max="5" width="11.84375" style="100" customWidth="1"/>
    <col min="6" max="6" width="8.69140625" style="100" customWidth="1"/>
    <col min="7" max="8" width="8.84375" style="100"/>
    <col min="9" max="9" width="5.69140625" style="100" customWidth="1"/>
    <col min="10" max="10" width="11.69140625" style="100" customWidth="1"/>
    <col min="11" max="11" width="8.84375" style="100" customWidth="1"/>
    <col min="12" max="14" width="8.84375" style="100"/>
    <col min="15" max="15" width="9.4609375" style="100" customWidth="1"/>
    <col min="16" max="16" width="8.84375" style="100"/>
    <col min="17" max="17" width="11.69140625" style="100" customWidth="1"/>
    <col min="18" max="40" width="8.84375" style="100"/>
  </cols>
  <sheetData>
    <row r="1" spans="1:24" ht="13.15" customHeight="1" x14ac:dyDescent="0.35">
      <c r="A1" s="101"/>
      <c r="B1" s="102"/>
      <c r="C1" s="102" t="s">
        <v>329</v>
      </c>
      <c r="D1" s="102"/>
      <c r="E1" s="102"/>
      <c r="F1" s="103"/>
      <c r="H1" s="384" t="s">
        <v>330</v>
      </c>
      <c r="I1" s="384"/>
      <c r="J1" s="384"/>
      <c r="K1" s="384"/>
      <c r="L1" s="384"/>
      <c r="M1" s="384"/>
      <c r="O1" s="384" t="s">
        <v>331</v>
      </c>
      <c r="P1" s="384"/>
      <c r="Q1" s="384"/>
      <c r="R1" s="384"/>
      <c r="S1" s="384"/>
      <c r="T1" s="384"/>
    </row>
    <row r="2" spans="1:24" ht="13.15" customHeight="1" x14ac:dyDescent="0.4">
      <c r="A2" s="50" t="s">
        <v>21</v>
      </c>
      <c r="B2" s="105" t="s">
        <v>332</v>
      </c>
      <c r="C2" s="105" t="s">
        <v>333</v>
      </c>
      <c r="D2" s="105" t="s">
        <v>332</v>
      </c>
      <c r="E2" s="105" t="s">
        <v>333</v>
      </c>
      <c r="F2" s="106">
        <v>1</v>
      </c>
      <c r="H2" s="50" t="s">
        <v>21</v>
      </c>
      <c r="I2" s="50" t="s">
        <v>334</v>
      </c>
      <c r="J2" s="50" t="s">
        <v>335</v>
      </c>
      <c r="K2" s="50" t="s">
        <v>332</v>
      </c>
      <c r="L2" s="50" t="s">
        <v>333</v>
      </c>
      <c r="M2" s="108">
        <v>1.5679000000000001</v>
      </c>
      <c r="O2" s="50" t="s">
        <v>21</v>
      </c>
      <c r="P2" s="50" t="s">
        <v>336</v>
      </c>
      <c r="Q2" s="50" t="s">
        <v>337</v>
      </c>
      <c r="R2" s="50" t="s">
        <v>332</v>
      </c>
      <c r="S2" s="50" t="s">
        <v>333</v>
      </c>
      <c r="T2" s="53">
        <v>3.2899999999999999E-2</v>
      </c>
    </row>
    <row r="3" spans="1:24" ht="13.15" customHeight="1" x14ac:dyDescent="0.4">
      <c r="A3" s="50" t="s">
        <v>74</v>
      </c>
      <c r="B3" s="105" t="s">
        <v>332</v>
      </c>
      <c r="C3" s="105" t="s">
        <v>333</v>
      </c>
      <c r="D3" s="105" t="s">
        <v>338</v>
      </c>
      <c r="E3" s="105" t="s">
        <v>339</v>
      </c>
      <c r="F3" s="106">
        <v>1.9733000000000001</v>
      </c>
      <c r="H3" s="50" t="s">
        <v>74</v>
      </c>
      <c r="I3" s="50" t="s">
        <v>334</v>
      </c>
      <c r="J3" s="50" t="s">
        <v>335</v>
      </c>
      <c r="K3" s="50" t="s">
        <v>338</v>
      </c>
      <c r="L3" s="50" t="s">
        <v>339</v>
      </c>
      <c r="M3" s="108">
        <v>3.0939999999999999</v>
      </c>
      <c r="O3" s="50" t="s">
        <v>74</v>
      </c>
      <c r="P3" s="50" t="s">
        <v>336</v>
      </c>
      <c r="Q3" s="50" t="s">
        <v>337</v>
      </c>
      <c r="R3" s="50" t="s">
        <v>338</v>
      </c>
      <c r="S3" s="50" t="s">
        <v>339</v>
      </c>
      <c r="T3" s="53">
        <v>6.5000000000000002E-2</v>
      </c>
      <c r="W3" s="50" t="s">
        <v>332</v>
      </c>
      <c r="X3" s="50" t="s">
        <v>21</v>
      </c>
    </row>
    <row r="4" spans="1:24" ht="13.15" customHeight="1" x14ac:dyDescent="0.4">
      <c r="A4" s="50" t="s">
        <v>69</v>
      </c>
      <c r="B4" s="105" t="s">
        <v>332</v>
      </c>
      <c r="C4" s="105" t="s">
        <v>333</v>
      </c>
      <c r="D4" s="105" t="s">
        <v>340</v>
      </c>
      <c r="E4" s="105" t="s">
        <v>341</v>
      </c>
      <c r="F4" s="106">
        <v>1.0345</v>
      </c>
      <c r="H4" s="50" t="s">
        <v>69</v>
      </c>
      <c r="I4" s="50" t="s">
        <v>334</v>
      </c>
      <c r="J4" s="50" t="s">
        <v>335</v>
      </c>
      <c r="K4" s="50" t="s">
        <v>340</v>
      </c>
      <c r="L4" s="50" t="s">
        <v>341</v>
      </c>
      <c r="M4" s="108">
        <v>1.6221000000000001</v>
      </c>
      <c r="O4" s="50" t="s">
        <v>69</v>
      </c>
      <c r="P4" s="50" t="s">
        <v>336</v>
      </c>
      <c r="Q4" s="50" t="s">
        <v>337</v>
      </c>
      <c r="R4" s="50" t="s">
        <v>340</v>
      </c>
      <c r="S4" s="50" t="s">
        <v>341</v>
      </c>
      <c r="T4" s="53">
        <v>3.4099999999999998E-2</v>
      </c>
      <c r="W4" s="50" t="s">
        <v>338</v>
      </c>
      <c r="X4" s="50" t="s">
        <v>74</v>
      </c>
    </row>
    <row r="5" spans="1:24" ht="13.15" customHeight="1" x14ac:dyDescent="0.4">
      <c r="A5" s="50" t="s">
        <v>38</v>
      </c>
      <c r="B5" s="105" t="s">
        <v>332</v>
      </c>
      <c r="C5" s="105" t="s">
        <v>333</v>
      </c>
      <c r="D5" s="105" t="s">
        <v>342</v>
      </c>
      <c r="E5" s="105" t="s">
        <v>343</v>
      </c>
      <c r="F5" s="106">
        <v>0.78239999999999998</v>
      </c>
      <c r="H5" s="50" t="s">
        <v>38</v>
      </c>
      <c r="I5" s="50" t="s">
        <v>334</v>
      </c>
      <c r="J5" s="50" t="s">
        <v>335</v>
      </c>
      <c r="K5" s="50" t="s">
        <v>342</v>
      </c>
      <c r="L5" s="50" t="s">
        <v>343</v>
      </c>
      <c r="M5" s="108">
        <v>1.2267999999999999</v>
      </c>
      <c r="O5" s="50" t="s">
        <v>38</v>
      </c>
      <c r="P5" s="50" t="s">
        <v>336</v>
      </c>
      <c r="Q5" s="50" t="s">
        <v>337</v>
      </c>
      <c r="R5" s="50" t="s">
        <v>342</v>
      </c>
      <c r="S5" s="50" t="s">
        <v>343</v>
      </c>
      <c r="T5" s="53">
        <v>2.58E-2</v>
      </c>
      <c r="W5" s="50" t="s">
        <v>340</v>
      </c>
      <c r="X5" s="50" t="s">
        <v>69</v>
      </c>
    </row>
    <row r="6" spans="1:24" ht="13.15" customHeight="1" x14ac:dyDescent="0.4">
      <c r="A6" s="50" t="s">
        <v>45</v>
      </c>
      <c r="B6" s="105" t="s">
        <v>332</v>
      </c>
      <c r="C6" s="105" t="s">
        <v>333</v>
      </c>
      <c r="D6" s="105" t="s">
        <v>334</v>
      </c>
      <c r="E6" s="105" t="s">
        <v>335</v>
      </c>
      <c r="F6" s="106">
        <v>0.63780000000000003</v>
      </c>
      <c r="H6" s="50" t="s">
        <v>45</v>
      </c>
      <c r="I6" s="50" t="s">
        <v>334</v>
      </c>
      <c r="J6" s="50" t="s">
        <v>335</v>
      </c>
      <c r="K6" s="50" t="s">
        <v>334</v>
      </c>
      <c r="L6" s="50" t="s">
        <v>335</v>
      </c>
      <c r="M6" s="108">
        <v>1</v>
      </c>
      <c r="O6" s="50" t="s">
        <v>45</v>
      </c>
      <c r="P6" s="50" t="s">
        <v>336</v>
      </c>
      <c r="Q6" s="50" t="s">
        <v>337</v>
      </c>
      <c r="R6" s="50" t="s">
        <v>334</v>
      </c>
      <c r="S6" s="50" t="s">
        <v>335</v>
      </c>
      <c r="T6" s="53">
        <v>2.1000000000000001E-2</v>
      </c>
      <c r="W6" s="50" t="s">
        <v>342</v>
      </c>
      <c r="X6" s="50" t="s">
        <v>38</v>
      </c>
    </row>
    <row r="7" spans="1:24" ht="13.15" customHeight="1" x14ac:dyDescent="0.4">
      <c r="A7" s="50" t="s">
        <v>52</v>
      </c>
      <c r="B7" s="105" t="s">
        <v>332</v>
      </c>
      <c r="C7" s="105" t="s">
        <v>333</v>
      </c>
      <c r="D7" s="105" t="s">
        <v>344</v>
      </c>
      <c r="E7" s="105" t="s">
        <v>345</v>
      </c>
      <c r="F7" s="106">
        <v>82.957700000000003</v>
      </c>
      <c r="H7" s="50" t="s">
        <v>52</v>
      </c>
      <c r="I7" s="50" t="s">
        <v>334</v>
      </c>
      <c r="J7" s="50" t="s">
        <v>335</v>
      </c>
      <c r="K7" s="50" t="s">
        <v>344</v>
      </c>
      <c r="L7" s="50" t="s">
        <v>345</v>
      </c>
      <c r="M7" s="108">
        <v>130.07149999999999</v>
      </c>
      <c r="O7" s="50" t="s">
        <v>52</v>
      </c>
      <c r="P7" s="50" t="s">
        <v>336</v>
      </c>
      <c r="Q7" s="50" t="s">
        <v>337</v>
      </c>
      <c r="R7" s="50" t="s">
        <v>344</v>
      </c>
      <c r="S7" s="50" t="s">
        <v>345</v>
      </c>
      <c r="T7" s="53">
        <v>2.7311999999999999</v>
      </c>
      <c r="W7" s="50" t="s">
        <v>334</v>
      </c>
      <c r="X7" s="50" t="s">
        <v>45</v>
      </c>
    </row>
    <row r="8" spans="1:24" ht="13.15" customHeight="1" x14ac:dyDescent="0.4">
      <c r="A8" s="50" t="s">
        <v>16</v>
      </c>
      <c r="B8" s="105" t="s">
        <v>332</v>
      </c>
      <c r="C8" s="105" t="s">
        <v>333</v>
      </c>
      <c r="D8" s="105" t="s">
        <v>134</v>
      </c>
      <c r="E8" s="105" t="s">
        <v>346</v>
      </c>
      <c r="F8" s="106">
        <v>6.5147000000000004</v>
      </c>
      <c r="H8" s="50" t="s">
        <v>16</v>
      </c>
      <c r="I8" s="50" t="s">
        <v>334</v>
      </c>
      <c r="J8" s="50" t="s">
        <v>335</v>
      </c>
      <c r="K8" s="50" t="s">
        <v>134</v>
      </c>
      <c r="L8" s="50" t="s">
        <v>346</v>
      </c>
      <c r="M8" s="108">
        <v>10.214499999999999</v>
      </c>
      <c r="O8" s="50" t="s">
        <v>16</v>
      </c>
      <c r="P8" s="50" t="s">
        <v>336</v>
      </c>
      <c r="Q8" s="50" t="s">
        <v>337</v>
      </c>
      <c r="R8" s="50" t="s">
        <v>134</v>
      </c>
      <c r="S8" s="50" t="s">
        <v>346</v>
      </c>
      <c r="T8" s="53">
        <v>0.2145</v>
      </c>
      <c r="W8" s="50" t="s">
        <v>344</v>
      </c>
      <c r="X8" s="50" t="s">
        <v>52</v>
      </c>
    </row>
    <row r="9" spans="1:24" ht="13.15" customHeight="1" x14ac:dyDescent="0.4">
      <c r="A9" s="50" t="s">
        <v>56</v>
      </c>
      <c r="B9" s="105" t="s">
        <v>332</v>
      </c>
      <c r="C9" s="105" t="s">
        <v>333</v>
      </c>
      <c r="D9" s="105" t="s">
        <v>336</v>
      </c>
      <c r="E9" s="105" t="s">
        <v>337</v>
      </c>
      <c r="F9" s="106">
        <v>30.373899999999999</v>
      </c>
      <c r="H9" s="50" t="s">
        <v>56</v>
      </c>
      <c r="I9" s="50" t="s">
        <v>334</v>
      </c>
      <c r="J9" s="50" t="s">
        <v>335</v>
      </c>
      <c r="K9" s="50" t="s">
        <v>336</v>
      </c>
      <c r="L9" s="50" t="s">
        <v>337</v>
      </c>
      <c r="M9" s="108">
        <v>47.624099999999999</v>
      </c>
      <c r="O9" s="50" t="s">
        <v>56</v>
      </c>
      <c r="P9" s="50" t="s">
        <v>336</v>
      </c>
      <c r="Q9" s="50" t="s">
        <v>337</v>
      </c>
      <c r="R9" s="50" t="s">
        <v>336</v>
      </c>
      <c r="S9" s="50" t="s">
        <v>337</v>
      </c>
      <c r="T9" s="53">
        <v>1</v>
      </c>
      <c r="W9" s="50" t="s">
        <v>134</v>
      </c>
      <c r="X9" s="50" t="s">
        <v>16</v>
      </c>
    </row>
    <row r="10" spans="1:24" ht="13.15" customHeight="1" x14ac:dyDescent="0.4">
      <c r="A10" s="50" t="s">
        <v>64</v>
      </c>
      <c r="B10" s="105" t="s">
        <v>332</v>
      </c>
      <c r="C10" s="105" t="s">
        <v>333</v>
      </c>
      <c r="D10" s="105" t="s">
        <v>127</v>
      </c>
      <c r="E10" s="105" t="s">
        <v>347</v>
      </c>
      <c r="F10" s="106">
        <v>1.0345</v>
      </c>
      <c r="H10" s="50" t="s">
        <v>64</v>
      </c>
      <c r="I10" s="50" t="s">
        <v>334</v>
      </c>
      <c r="J10" s="50" t="s">
        <v>335</v>
      </c>
      <c r="K10" s="50" t="s">
        <v>127</v>
      </c>
      <c r="L10" s="50" t="s">
        <v>347</v>
      </c>
      <c r="M10" s="108">
        <v>1.6221000000000001</v>
      </c>
      <c r="O10" s="50" t="s">
        <v>64</v>
      </c>
      <c r="P10" s="50" t="s">
        <v>336</v>
      </c>
      <c r="Q10" s="50" t="s">
        <v>337</v>
      </c>
      <c r="R10" s="50" t="s">
        <v>127</v>
      </c>
      <c r="S10" s="50" t="s">
        <v>347</v>
      </c>
      <c r="T10" s="53">
        <v>3.4099999999999998E-2</v>
      </c>
      <c r="W10" s="50" t="s">
        <v>336</v>
      </c>
      <c r="X10" s="50" t="s">
        <v>56</v>
      </c>
    </row>
    <row r="11" spans="1:24" ht="13.15" customHeight="1" x14ac:dyDescent="0.4">
      <c r="A11" s="50" t="s">
        <v>11</v>
      </c>
      <c r="B11" s="105" t="s">
        <v>332</v>
      </c>
      <c r="C11" s="105" t="s">
        <v>333</v>
      </c>
      <c r="D11" s="105" t="s">
        <v>348</v>
      </c>
      <c r="E11" s="105" t="s">
        <v>349</v>
      </c>
      <c r="F11" s="106">
        <v>7.9966999999999997</v>
      </c>
      <c r="H11" s="50" t="s">
        <v>11</v>
      </c>
      <c r="I11" s="50" t="s">
        <v>334</v>
      </c>
      <c r="J11" s="50" t="s">
        <v>335</v>
      </c>
      <c r="K11" s="50" t="s">
        <v>348</v>
      </c>
      <c r="L11" s="50" t="s">
        <v>349</v>
      </c>
      <c r="M11" s="108">
        <v>12.5383</v>
      </c>
      <c r="O11" s="50" t="s">
        <v>11</v>
      </c>
      <c r="P11" s="50" t="s">
        <v>336</v>
      </c>
      <c r="Q11" s="50" t="s">
        <v>337</v>
      </c>
      <c r="R11" s="50" t="s">
        <v>348</v>
      </c>
      <c r="S11" s="50" t="s">
        <v>349</v>
      </c>
      <c r="T11" s="53">
        <v>0.26329999999999998</v>
      </c>
      <c r="W11" s="50" t="s">
        <v>127</v>
      </c>
      <c r="X11" s="50" t="s">
        <v>64</v>
      </c>
    </row>
    <row r="12" spans="1:24" ht="13.15" customHeight="1" x14ac:dyDescent="0.35">
      <c r="A12" s="101"/>
      <c r="B12" s="102"/>
      <c r="C12" s="102" t="s">
        <v>350</v>
      </c>
      <c r="D12" s="102"/>
      <c r="E12" s="102"/>
      <c r="F12" s="103"/>
      <c r="H12" s="384" t="s">
        <v>351</v>
      </c>
      <c r="I12" s="384"/>
      <c r="J12" s="384"/>
      <c r="K12" s="384"/>
      <c r="L12" s="384"/>
      <c r="M12" s="384"/>
      <c r="O12" s="384" t="s">
        <v>352</v>
      </c>
      <c r="P12" s="384"/>
      <c r="Q12" s="384"/>
      <c r="R12" s="384"/>
      <c r="S12" s="384"/>
      <c r="T12" s="384"/>
      <c r="W12" s="50" t="s">
        <v>348</v>
      </c>
      <c r="X12" s="50" t="s">
        <v>11</v>
      </c>
    </row>
    <row r="13" spans="1:24" ht="13.15" customHeight="1" x14ac:dyDescent="0.35">
      <c r="A13" s="50" t="s">
        <v>21</v>
      </c>
      <c r="B13" s="50" t="s">
        <v>338</v>
      </c>
      <c r="C13" s="50" t="s">
        <v>339</v>
      </c>
      <c r="D13" s="50" t="s">
        <v>332</v>
      </c>
      <c r="E13" s="50" t="s">
        <v>333</v>
      </c>
      <c r="F13" s="53">
        <v>0.50680000000000003</v>
      </c>
      <c r="H13" s="50" t="s">
        <v>21</v>
      </c>
      <c r="I13" s="50" t="s">
        <v>344</v>
      </c>
      <c r="J13" s="50" t="s">
        <v>345</v>
      </c>
      <c r="K13" s="50" t="s">
        <v>332</v>
      </c>
      <c r="L13" s="50" t="s">
        <v>333</v>
      </c>
      <c r="M13" s="53">
        <v>1.21E-2</v>
      </c>
      <c r="O13" s="50" t="s">
        <v>21</v>
      </c>
      <c r="P13" s="50" t="s">
        <v>127</v>
      </c>
      <c r="Q13" s="50" t="s">
        <v>347</v>
      </c>
      <c r="R13" s="50" t="s">
        <v>332</v>
      </c>
      <c r="S13" s="50" t="s">
        <v>333</v>
      </c>
      <c r="T13" s="53">
        <v>0.96660000000000001</v>
      </c>
    </row>
    <row r="14" spans="1:24" ht="13.15" customHeight="1" x14ac:dyDescent="0.35">
      <c r="A14" s="50" t="s">
        <v>74</v>
      </c>
      <c r="B14" s="50" t="s">
        <v>338</v>
      </c>
      <c r="C14" s="50" t="s">
        <v>339</v>
      </c>
      <c r="D14" s="50" t="s">
        <v>338</v>
      </c>
      <c r="E14" s="50" t="s">
        <v>339</v>
      </c>
      <c r="F14" s="53">
        <v>1</v>
      </c>
      <c r="H14" s="50" t="s">
        <v>74</v>
      </c>
      <c r="I14" s="50" t="s">
        <v>344</v>
      </c>
      <c r="J14" s="50" t="s">
        <v>345</v>
      </c>
      <c r="K14" s="50" t="s">
        <v>338</v>
      </c>
      <c r="L14" s="50" t="s">
        <v>339</v>
      </c>
      <c r="M14" s="53">
        <v>2.3800000000000002E-2</v>
      </c>
      <c r="O14" s="50" t="s">
        <v>74</v>
      </c>
      <c r="P14" s="50" t="s">
        <v>127</v>
      </c>
      <c r="Q14" s="50" t="s">
        <v>347</v>
      </c>
      <c r="R14" s="50" t="s">
        <v>338</v>
      </c>
      <c r="S14" s="50" t="s">
        <v>339</v>
      </c>
      <c r="T14" s="53">
        <v>1.9074</v>
      </c>
    </row>
    <row r="15" spans="1:24" ht="13.15" customHeight="1" x14ac:dyDescent="0.35">
      <c r="A15" s="50" t="s">
        <v>69</v>
      </c>
      <c r="B15" s="50" t="s">
        <v>338</v>
      </c>
      <c r="C15" s="50" t="s">
        <v>339</v>
      </c>
      <c r="D15" s="50" t="s">
        <v>340</v>
      </c>
      <c r="E15" s="50" t="s">
        <v>341</v>
      </c>
      <c r="F15" s="53">
        <v>0.52429999999999999</v>
      </c>
      <c r="H15" s="50" t="s">
        <v>69</v>
      </c>
      <c r="I15" s="50" t="s">
        <v>344</v>
      </c>
      <c r="J15" s="50" t="s">
        <v>345</v>
      </c>
      <c r="K15" s="50" t="s">
        <v>340</v>
      </c>
      <c r="L15" s="50" t="s">
        <v>341</v>
      </c>
      <c r="M15" s="53">
        <v>1.2500000000000001E-2</v>
      </c>
      <c r="O15" s="50" t="s">
        <v>69</v>
      </c>
      <c r="P15" s="50" t="s">
        <v>127</v>
      </c>
      <c r="Q15" s="50" t="s">
        <v>347</v>
      </c>
      <c r="R15" s="50" t="s">
        <v>340</v>
      </c>
      <c r="S15" s="50" t="s">
        <v>341</v>
      </c>
      <c r="T15" s="53">
        <v>1</v>
      </c>
    </row>
    <row r="16" spans="1:24" ht="13.15" customHeight="1" x14ac:dyDescent="0.35">
      <c r="A16" s="50" t="s">
        <v>38</v>
      </c>
      <c r="B16" s="50" t="s">
        <v>338</v>
      </c>
      <c r="C16" s="50" t="s">
        <v>339</v>
      </c>
      <c r="D16" s="50" t="s">
        <v>342</v>
      </c>
      <c r="E16" s="50" t="s">
        <v>343</v>
      </c>
      <c r="F16" s="53">
        <v>0.39650000000000002</v>
      </c>
      <c r="H16" s="50" t="s">
        <v>38</v>
      </c>
      <c r="I16" s="50" t="s">
        <v>344</v>
      </c>
      <c r="J16" s="50" t="s">
        <v>345</v>
      </c>
      <c r="K16" s="50" t="s">
        <v>342</v>
      </c>
      <c r="L16" s="50" t="s">
        <v>343</v>
      </c>
      <c r="M16" s="53">
        <v>9.4000000000000004E-3</v>
      </c>
      <c r="O16" s="50" t="s">
        <v>38</v>
      </c>
      <c r="P16" s="50" t="s">
        <v>127</v>
      </c>
      <c r="Q16" s="50" t="s">
        <v>347</v>
      </c>
      <c r="R16" s="50" t="s">
        <v>342</v>
      </c>
      <c r="S16" s="50" t="s">
        <v>343</v>
      </c>
      <c r="T16" s="53">
        <v>0.75629999999999997</v>
      </c>
    </row>
    <row r="17" spans="1:20" ht="13.15" customHeight="1" x14ac:dyDescent="0.35">
      <c r="A17" s="50" t="s">
        <v>45</v>
      </c>
      <c r="B17" s="50" t="s">
        <v>338</v>
      </c>
      <c r="C17" s="50" t="s">
        <v>339</v>
      </c>
      <c r="D17" s="50" t="s">
        <v>334</v>
      </c>
      <c r="E17" s="50" t="s">
        <v>335</v>
      </c>
      <c r="F17" s="53">
        <v>0.32319999999999999</v>
      </c>
      <c r="H17" s="50" t="s">
        <v>45</v>
      </c>
      <c r="I17" s="50" t="s">
        <v>344</v>
      </c>
      <c r="J17" s="50" t="s">
        <v>345</v>
      </c>
      <c r="K17" s="50" t="s">
        <v>334</v>
      </c>
      <c r="L17" s="50" t="s">
        <v>335</v>
      </c>
      <c r="M17" s="53">
        <v>7.7000000000000002E-3</v>
      </c>
      <c r="O17" s="50" t="s">
        <v>45</v>
      </c>
      <c r="P17" s="50" t="s">
        <v>127</v>
      </c>
      <c r="Q17" s="50" t="s">
        <v>347</v>
      </c>
      <c r="R17" s="50" t="s">
        <v>334</v>
      </c>
      <c r="S17" s="50" t="s">
        <v>335</v>
      </c>
      <c r="T17" s="53">
        <v>0.61650000000000005</v>
      </c>
    </row>
    <row r="18" spans="1:20" ht="13.15" customHeight="1" x14ac:dyDescent="0.35">
      <c r="A18" s="50" t="s">
        <v>52</v>
      </c>
      <c r="B18" s="50" t="s">
        <v>338</v>
      </c>
      <c r="C18" s="50" t="s">
        <v>339</v>
      </c>
      <c r="D18" s="50" t="s">
        <v>344</v>
      </c>
      <c r="E18" s="50" t="s">
        <v>345</v>
      </c>
      <c r="F18" s="53">
        <v>42.040300000000002</v>
      </c>
      <c r="H18" s="50" t="s">
        <v>52</v>
      </c>
      <c r="I18" s="50" t="s">
        <v>344</v>
      </c>
      <c r="J18" s="50" t="s">
        <v>345</v>
      </c>
      <c r="K18" s="50" t="s">
        <v>344</v>
      </c>
      <c r="L18" s="50" t="s">
        <v>345</v>
      </c>
      <c r="M18" s="53">
        <v>1</v>
      </c>
      <c r="O18" s="50" t="s">
        <v>52</v>
      </c>
      <c r="P18" s="50" t="s">
        <v>127</v>
      </c>
      <c r="Q18" s="50" t="s">
        <v>347</v>
      </c>
      <c r="R18" s="50" t="s">
        <v>344</v>
      </c>
      <c r="S18" s="50" t="s">
        <v>345</v>
      </c>
      <c r="T18" s="53">
        <v>80.188900000000004</v>
      </c>
    </row>
    <row r="19" spans="1:20" ht="13.15" customHeight="1" x14ac:dyDescent="0.35">
      <c r="A19" s="50" t="s">
        <v>16</v>
      </c>
      <c r="B19" s="50" t="s">
        <v>338</v>
      </c>
      <c r="C19" s="50" t="s">
        <v>339</v>
      </c>
      <c r="D19" s="50" t="s">
        <v>134</v>
      </c>
      <c r="E19" s="50" t="s">
        <v>346</v>
      </c>
      <c r="F19" s="53">
        <v>3.3014000000000001</v>
      </c>
      <c r="H19" s="50" t="s">
        <v>16</v>
      </c>
      <c r="I19" s="50" t="s">
        <v>344</v>
      </c>
      <c r="J19" s="50" t="s">
        <v>345</v>
      </c>
      <c r="K19" s="50" t="s">
        <v>134</v>
      </c>
      <c r="L19" s="50" t="s">
        <v>346</v>
      </c>
      <c r="M19" s="53">
        <v>7.85E-2</v>
      </c>
      <c r="O19" s="50" t="s">
        <v>16</v>
      </c>
      <c r="P19" s="50" t="s">
        <v>127</v>
      </c>
      <c r="Q19" s="50" t="s">
        <v>347</v>
      </c>
      <c r="R19" s="50" t="s">
        <v>134</v>
      </c>
      <c r="S19" s="50" t="s">
        <v>346</v>
      </c>
      <c r="T19" s="53">
        <v>6.2972000000000001</v>
      </c>
    </row>
    <row r="20" spans="1:20" ht="13.15" customHeight="1" x14ac:dyDescent="0.35">
      <c r="A20" s="50" t="s">
        <v>56</v>
      </c>
      <c r="B20" s="50" t="s">
        <v>338</v>
      </c>
      <c r="C20" s="50" t="s">
        <v>339</v>
      </c>
      <c r="D20" s="50" t="s">
        <v>336</v>
      </c>
      <c r="E20" s="50" t="s">
        <v>337</v>
      </c>
      <c r="F20" s="53">
        <v>15.3925</v>
      </c>
      <c r="H20" s="50" t="s">
        <v>56</v>
      </c>
      <c r="I20" s="50" t="s">
        <v>344</v>
      </c>
      <c r="J20" s="50" t="s">
        <v>345</v>
      </c>
      <c r="K20" s="50" t="s">
        <v>336</v>
      </c>
      <c r="L20" s="50" t="s">
        <v>337</v>
      </c>
      <c r="M20" s="53">
        <v>0.36609999999999998</v>
      </c>
      <c r="O20" s="50" t="s">
        <v>56</v>
      </c>
      <c r="P20" s="50" t="s">
        <v>127</v>
      </c>
      <c r="Q20" s="50" t="s">
        <v>347</v>
      </c>
      <c r="R20" s="50" t="s">
        <v>336</v>
      </c>
      <c r="S20" s="50" t="s">
        <v>337</v>
      </c>
      <c r="T20" s="53">
        <v>29.360199999999999</v>
      </c>
    </row>
    <row r="21" spans="1:20" ht="13.15" customHeight="1" x14ac:dyDescent="0.35">
      <c r="A21" s="50" t="s">
        <v>64</v>
      </c>
      <c r="B21" s="50" t="s">
        <v>338</v>
      </c>
      <c r="C21" s="50" t="s">
        <v>339</v>
      </c>
      <c r="D21" s="50" t="s">
        <v>127</v>
      </c>
      <c r="E21" s="50" t="s">
        <v>347</v>
      </c>
      <c r="F21" s="53">
        <v>0.52429999999999999</v>
      </c>
      <c r="H21" s="50" t="s">
        <v>64</v>
      </c>
      <c r="I21" s="50" t="s">
        <v>344</v>
      </c>
      <c r="J21" s="50" t="s">
        <v>345</v>
      </c>
      <c r="K21" s="50" t="s">
        <v>127</v>
      </c>
      <c r="L21" s="50" t="s">
        <v>347</v>
      </c>
      <c r="M21" s="53">
        <v>1.2500000000000001E-2</v>
      </c>
      <c r="O21" s="50" t="s">
        <v>64</v>
      </c>
      <c r="P21" s="50" t="s">
        <v>127</v>
      </c>
      <c r="Q21" s="50" t="s">
        <v>347</v>
      </c>
      <c r="R21" s="50" t="s">
        <v>127</v>
      </c>
      <c r="S21" s="50" t="s">
        <v>347</v>
      </c>
      <c r="T21" s="53">
        <v>1</v>
      </c>
    </row>
    <row r="22" spans="1:20" ht="13.15" customHeight="1" x14ac:dyDescent="0.35">
      <c r="A22" s="50" t="s">
        <v>11</v>
      </c>
      <c r="B22" s="50" t="s">
        <v>338</v>
      </c>
      <c r="C22" s="50" t="s">
        <v>339</v>
      </c>
      <c r="D22" s="50" t="s">
        <v>348</v>
      </c>
      <c r="E22" s="50" t="s">
        <v>349</v>
      </c>
      <c r="F22" s="53">
        <v>4.0525000000000002</v>
      </c>
      <c r="H22" s="50" t="s">
        <v>11</v>
      </c>
      <c r="I22" s="50" t="s">
        <v>344</v>
      </c>
      <c r="J22" s="50" t="s">
        <v>345</v>
      </c>
      <c r="K22" s="50" t="s">
        <v>348</v>
      </c>
      <c r="L22" s="50" t="s">
        <v>349</v>
      </c>
      <c r="M22" s="53">
        <v>9.64E-2</v>
      </c>
      <c r="O22" s="50" t="s">
        <v>11</v>
      </c>
      <c r="P22" s="50" t="s">
        <v>127</v>
      </c>
      <c r="Q22" s="50" t="s">
        <v>347</v>
      </c>
      <c r="R22" s="50" t="s">
        <v>348</v>
      </c>
      <c r="S22" s="50" t="s">
        <v>349</v>
      </c>
      <c r="T22" s="53">
        <v>7.7298</v>
      </c>
    </row>
    <row r="23" spans="1:20" ht="13.15" customHeight="1" x14ac:dyDescent="0.35">
      <c r="A23" s="101"/>
      <c r="B23" s="102"/>
      <c r="C23" s="102" t="s">
        <v>353</v>
      </c>
      <c r="D23" s="102"/>
      <c r="E23" s="102"/>
      <c r="F23" s="103"/>
      <c r="H23" s="104" t="s">
        <v>354</v>
      </c>
      <c r="I23" s="104"/>
      <c r="J23" s="104"/>
      <c r="K23" s="104"/>
      <c r="L23" s="104"/>
      <c r="M23" s="104"/>
      <c r="O23" s="104" t="s">
        <v>355</v>
      </c>
      <c r="P23" s="104"/>
      <c r="Q23" s="104"/>
      <c r="R23" s="104"/>
      <c r="S23" s="104"/>
      <c r="T23" s="104"/>
    </row>
    <row r="24" spans="1:20" ht="13.15" customHeight="1" x14ac:dyDescent="0.35">
      <c r="A24" s="50" t="s">
        <v>21</v>
      </c>
      <c r="B24" s="50" t="s">
        <v>340</v>
      </c>
      <c r="C24" s="50" t="s">
        <v>341</v>
      </c>
      <c r="D24" s="50" t="s">
        <v>332</v>
      </c>
      <c r="E24" s="50" t="s">
        <v>333</v>
      </c>
      <c r="F24" s="53">
        <v>0.96660000000000001</v>
      </c>
      <c r="H24" s="50" t="s">
        <v>21</v>
      </c>
      <c r="I24" s="50" t="s">
        <v>134</v>
      </c>
      <c r="J24" s="50" t="s">
        <v>346</v>
      </c>
      <c r="K24" s="50" t="s">
        <v>332</v>
      </c>
      <c r="L24" s="50" t="s">
        <v>333</v>
      </c>
      <c r="M24" s="53">
        <v>0.14430000000000001</v>
      </c>
      <c r="O24" s="50" t="s">
        <v>21</v>
      </c>
      <c r="P24" s="50" t="s">
        <v>348</v>
      </c>
      <c r="Q24" s="50" t="s">
        <v>349</v>
      </c>
      <c r="R24" s="50" t="s">
        <v>332</v>
      </c>
      <c r="S24" s="50" t="s">
        <v>333</v>
      </c>
      <c r="T24" s="53">
        <v>0.12509999999999999</v>
      </c>
    </row>
    <row r="25" spans="1:20" ht="13.15" customHeight="1" x14ac:dyDescent="0.35">
      <c r="A25" s="50" t="s">
        <v>74</v>
      </c>
      <c r="B25" s="50" t="s">
        <v>340</v>
      </c>
      <c r="C25" s="50" t="s">
        <v>341</v>
      </c>
      <c r="D25" s="50" t="s">
        <v>338</v>
      </c>
      <c r="E25" s="50" t="s">
        <v>339</v>
      </c>
      <c r="F25" s="53">
        <v>1.9074</v>
      </c>
      <c r="H25" s="50" t="s">
        <v>74</v>
      </c>
      <c r="I25" s="50" t="s">
        <v>134</v>
      </c>
      <c r="J25" s="50" t="s">
        <v>346</v>
      </c>
      <c r="K25" s="50" t="s">
        <v>338</v>
      </c>
      <c r="L25" s="50" t="s">
        <v>339</v>
      </c>
      <c r="M25" s="53">
        <v>0.24340000000000001</v>
      </c>
      <c r="O25" s="50" t="s">
        <v>74</v>
      </c>
      <c r="P25" s="50" t="s">
        <v>348</v>
      </c>
      <c r="Q25" s="50" t="s">
        <v>349</v>
      </c>
      <c r="R25" s="50" t="s">
        <v>338</v>
      </c>
      <c r="S25" s="50" t="s">
        <v>339</v>
      </c>
      <c r="T25" s="53">
        <v>0.24679999999999999</v>
      </c>
    </row>
    <row r="26" spans="1:20" ht="13.15" customHeight="1" x14ac:dyDescent="0.35">
      <c r="A26" s="50" t="s">
        <v>69</v>
      </c>
      <c r="B26" s="50" t="s">
        <v>340</v>
      </c>
      <c r="C26" s="50" t="s">
        <v>341</v>
      </c>
      <c r="D26" s="50" t="s">
        <v>340</v>
      </c>
      <c r="E26" s="50" t="s">
        <v>341</v>
      </c>
      <c r="F26" s="53">
        <v>1</v>
      </c>
      <c r="H26" s="50" t="s">
        <v>69</v>
      </c>
      <c r="I26" s="50" t="s">
        <v>134</v>
      </c>
      <c r="J26" s="50" t="s">
        <v>346</v>
      </c>
      <c r="K26" s="50" t="s">
        <v>340</v>
      </c>
      <c r="L26" s="50" t="s">
        <v>341</v>
      </c>
      <c r="M26" s="53">
        <v>0.1552</v>
      </c>
      <c r="O26" s="50" t="s">
        <v>69</v>
      </c>
      <c r="P26" s="50" t="s">
        <v>348</v>
      </c>
      <c r="Q26" s="50" t="s">
        <v>349</v>
      </c>
      <c r="R26" s="50" t="s">
        <v>340</v>
      </c>
      <c r="S26" s="50" t="s">
        <v>341</v>
      </c>
      <c r="T26" s="53">
        <v>0.12939999999999999</v>
      </c>
    </row>
    <row r="27" spans="1:20" ht="13.15" customHeight="1" x14ac:dyDescent="0.35">
      <c r="A27" s="50" t="s">
        <v>38</v>
      </c>
      <c r="B27" s="50" t="s">
        <v>340</v>
      </c>
      <c r="C27" s="50" t="s">
        <v>341</v>
      </c>
      <c r="D27" s="50" t="s">
        <v>342</v>
      </c>
      <c r="E27" s="50" t="s">
        <v>343</v>
      </c>
      <c r="F27" s="53">
        <v>0.75629999999999997</v>
      </c>
      <c r="H27" s="50" t="s">
        <v>38</v>
      </c>
      <c r="I27" s="50" t="s">
        <v>134</v>
      </c>
      <c r="J27" s="50" t="s">
        <v>346</v>
      </c>
      <c r="K27" s="50" t="s">
        <v>342</v>
      </c>
      <c r="L27" s="50" t="s">
        <v>343</v>
      </c>
      <c r="M27" s="53">
        <v>9.8799999999999999E-2</v>
      </c>
      <c r="O27" s="50" t="s">
        <v>38</v>
      </c>
      <c r="P27" s="50" t="s">
        <v>348</v>
      </c>
      <c r="Q27" s="50" t="s">
        <v>349</v>
      </c>
      <c r="R27" s="50" t="s">
        <v>342</v>
      </c>
      <c r="S27" s="50" t="s">
        <v>343</v>
      </c>
      <c r="T27" s="53">
        <v>9.7799999999999998E-2</v>
      </c>
    </row>
    <row r="28" spans="1:20" ht="13.15" customHeight="1" x14ac:dyDescent="0.35">
      <c r="A28" s="50" t="s">
        <v>45</v>
      </c>
      <c r="B28" s="50" t="s">
        <v>340</v>
      </c>
      <c r="C28" s="50" t="s">
        <v>341</v>
      </c>
      <c r="D28" s="50" t="s">
        <v>334</v>
      </c>
      <c r="E28" s="50" t="s">
        <v>335</v>
      </c>
      <c r="F28" s="53">
        <v>0.61650000000000005</v>
      </c>
      <c r="H28" s="50" t="s">
        <v>45</v>
      </c>
      <c r="I28" s="50" t="s">
        <v>134</v>
      </c>
      <c r="J28" s="50" t="s">
        <v>346</v>
      </c>
      <c r="K28" s="50" t="s">
        <v>334</v>
      </c>
      <c r="L28" s="50" t="s">
        <v>335</v>
      </c>
      <c r="M28" s="53">
        <v>9.5399999999999999E-2</v>
      </c>
      <c r="O28" s="50" t="s">
        <v>45</v>
      </c>
      <c r="P28" s="50" t="s">
        <v>348</v>
      </c>
      <c r="Q28" s="50" t="s">
        <v>349</v>
      </c>
      <c r="R28" s="50" t="s">
        <v>334</v>
      </c>
      <c r="S28" s="50" t="s">
        <v>335</v>
      </c>
      <c r="T28" s="53">
        <v>7.9799999999999996E-2</v>
      </c>
    </row>
    <row r="29" spans="1:20" ht="13.15" customHeight="1" x14ac:dyDescent="0.35">
      <c r="A29" s="50" t="s">
        <v>52</v>
      </c>
      <c r="B29" s="50" t="s">
        <v>340</v>
      </c>
      <c r="C29" s="50" t="s">
        <v>341</v>
      </c>
      <c r="D29" s="50" t="s">
        <v>344</v>
      </c>
      <c r="E29" s="50" t="s">
        <v>345</v>
      </c>
      <c r="F29" s="53">
        <v>80.188900000000004</v>
      </c>
      <c r="H29" s="50" t="s">
        <v>52</v>
      </c>
      <c r="I29" s="50" t="s">
        <v>134</v>
      </c>
      <c r="J29" s="50" t="s">
        <v>346</v>
      </c>
      <c r="K29" s="50" t="s">
        <v>344</v>
      </c>
      <c r="L29" s="50" t="s">
        <v>345</v>
      </c>
      <c r="M29" s="53">
        <v>11.9993</v>
      </c>
      <c r="O29" s="50" t="s">
        <v>52</v>
      </c>
      <c r="P29" s="50" t="s">
        <v>348</v>
      </c>
      <c r="Q29" s="50" t="s">
        <v>349</v>
      </c>
      <c r="R29" s="50" t="s">
        <v>344</v>
      </c>
      <c r="S29" s="50" t="s">
        <v>345</v>
      </c>
      <c r="T29" s="53">
        <v>10.373900000000001</v>
      </c>
    </row>
    <row r="30" spans="1:20" ht="13.15" customHeight="1" x14ac:dyDescent="0.35">
      <c r="A30" s="50" t="s">
        <v>16</v>
      </c>
      <c r="B30" s="50" t="s">
        <v>340</v>
      </c>
      <c r="C30" s="50" t="s">
        <v>341</v>
      </c>
      <c r="D30" s="50" t="s">
        <v>134</v>
      </c>
      <c r="E30" s="50" t="s">
        <v>346</v>
      </c>
      <c r="F30" s="53">
        <v>6.2972000000000001</v>
      </c>
      <c r="H30" s="50" t="s">
        <v>16</v>
      </c>
      <c r="I30" s="50" t="s">
        <v>134</v>
      </c>
      <c r="J30" s="50" t="s">
        <v>346</v>
      </c>
      <c r="K30" s="50" t="s">
        <v>134</v>
      </c>
      <c r="L30" s="50" t="s">
        <v>346</v>
      </c>
      <c r="M30" s="53">
        <v>1</v>
      </c>
      <c r="O30" s="50" t="s">
        <v>16</v>
      </c>
      <c r="P30" s="50" t="s">
        <v>348</v>
      </c>
      <c r="Q30" s="50" t="s">
        <v>349</v>
      </c>
      <c r="R30" s="50" t="s">
        <v>134</v>
      </c>
      <c r="S30" s="50" t="s">
        <v>346</v>
      </c>
      <c r="T30" s="53">
        <v>0.81469999999999998</v>
      </c>
    </row>
    <row r="31" spans="1:20" ht="13.15" customHeight="1" x14ac:dyDescent="0.35">
      <c r="A31" s="50" t="s">
        <v>56</v>
      </c>
      <c r="B31" s="50" t="s">
        <v>340</v>
      </c>
      <c r="C31" s="50" t="s">
        <v>341</v>
      </c>
      <c r="D31" s="50" t="s">
        <v>336</v>
      </c>
      <c r="E31" s="50" t="s">
        <v>337</v>
      </c>
      <c r="F31" s="53">
        <v>29.360199999999999</v>
      </c>
      <c r="H31" s="50" t="s">
        <v>56</v>
      </c>
      <c r="I31" s="50" t="s">
        <v>134</v>
      </c>
      <c r="J31" s="50" t="s">
        <v>346</v>
      </c>
      <c r="K31" s="50" t="s">
        <v>336</v>
      </c>
      <c r="L31" s="50" t="s">
        <v>337</v>
      </c>
      <c r="M31" s="53">
        <v>4.3231999999999999</v>
      </c>
      <c r="O31" s="50" t="s">
        <v>56</v>
      </c>
      <c r="P31" s="50" t="s">
        <v>348</v>
      </c>
      <c r="Q31" s="50" t="s">
        <v>349</v>
      </c>
      <c r="R31" s="50" t="s">
        <v>336</v>
      </c>
      <c r="S31" s="50" t="s">
        <v>337</v>
      </c>
      <c r="T31" s="53">
        <v>3.7982999999999998</v>
      </c>
    </row>
    <row r="32" spans="1:20" ht="13.15" customHeight="1" x14ac:dyDescent="0.35">
      <c r="A32" s="50" t="s">
        <v>64</v>
      </c>
      <c r="B32" s="50" t="s">
        <v>340</v>
      </c>
      <c r="C32" s="50" t="s">
        <v>341</v>
      </c>
      <c r="D32" s="50" t="s">
        <v>127</v>
      </c>
      <c r="E32" s="50" t="s">
        <v>347</v>
      </c>
      <c r="F32" s="53">
        <v>1</v>
      </c>
      <c r="H32" s="50" t="s">
        <v>64</v>
      </c>
      <c r="I32" s="50" t="s">
        <v>134</v>
      </c>
      <c r="J32" s="50" t="s">
        <v>346</v>
      </c>
      <c r="K32" s="50" t="s">
        <v>127</v>
      </c>
      <c r="L32" s="50" t="s">
        <v>347</v>
      </c>
      <c r="M32" s="53">
        <v>0.15540000000000001</v>
      </c>
      <c r="O32" s="50" t="s">
        <v>64</v>
      </c>
      <c r="P32" s="50" t="s">
        <v>348</v>
      </c>
      <c r="Q32" s="50" t="s">
        <v>349</v>
      </c>
      <c r="R32" s="50" t="s">
        <v>127</v>
      </c>
      <c r="S32" s="50" t="s">
        <v>347</v>
      </c>
      <c r="T32" s="53">
        <v>0.12939999999999999</v>
      </c>
    </row>
    <row r="33" spans="1:20" ht="13.15" customHeight="1" x14ac:dyDescent="0.35">
      <c r="A33" s="50" t="s">
        <v>11</v>
      </c>
      <c r="B33" s="50" t="s">
        <v>340</v>
      </c>
      <c r="C33" s="50" t="s">
        <v>341</v>
      </c>
      <c r="D33" s="50" t="s">
        <v>348</v>
      </c>
      <c r="E33" s="50" t="s">
        <v>349</v>
      </c>
      <c r="F33" s="53">
        <v>7.7298</v>
      </c>
      <c r="H33" s="50" t="s">
        <v>11</v>
      </c>
      <c r="I33" s="50" t="s">
        <v>134</v>
      </c>
      <c r="J33" s="50" t="s">
        <v>346</v>
      </c>
      <c r="K33" s="50" t="s">
        <v>348</v>
      </c>
      <c r="L33" s="50" t="s">
        <v>349</v>
      </c>
      <c r="M33" s="53">
        <v>1.054</v>
      </c>
      <c r="O33" s="50" t="s">
        <v>11</v>
      </c>
      <c r="P33" s="50" t="s">
        <v>348</v>
      </c>
      <c r="Q33" s="50" t="s">
        <v>349</v>
      </c>
      <c r="R33" s="50" t="s">
        <v>348</v>
      </c>
      <c r="S33" s="50" t="s">
        <v>349</v>
      </c>
      <c r="T33" s="53">
        <v>1</v>
      </c>
    </row>
    <row r="34" spans="1:20" ht="13.15" customHeight="1" x14ac:dyDescent="0.35">
      <c r="A34" s="104"/>
      <c r="B34" s="104"/>
      <c r="C34" s="104" t="s">
        <v>356</v>
      </c>
      <c r="D34" s="104"/>
      <c r="E34" s="104"/>
      <c r="F34" s="104"/>
    </row>
    <row r="35" spans="1:20" ht="13.15" customHeight="1" x14ac:dyDescent="0.35">
      <c r="A35" s="50" t="s">
        <v>21</v>
      </c>
      <c r="B35" s="50" t="s">
        <v>342</v>
      </c>
      <c r="C35" s="50" t="s">
        <v>343</v>
      </c>
      <c r="D35" s="50" t="s">
        <v>332</v>
      </c>
      <c r="E35" s="50" t="s">
        <v>333</v>
      </c>
      <c r="F35" s="107">
        <v>1.2781</v>
      </c>
    </row>
    <row r="36" spans="1:20" ht="13.15" customHeight="1" x14ac:dyDescent="0.25">
      <c r="A36" s="50" t="s">
        <v>74</v>
      </c>
      <c r="B36" s="50" t="s">
        <v>342</v>
      </c>
      <c r="C36" s="50" t="s">
        <v>343</v>
      </c>
      <c r="D36" s="50" t="s">
        <v>338</v>
      </c>
      <c r="E36" s="50" t="s">
        <v>339</v>
      </c>
      <c r="F36" s="107">
        <v>2.5221</v>
      </c>
      <c r="I36" s="5" t="s">
        <v>342</v>
      </c>
      <c r="J36" s="5" t="s">
        <v>340</v>
      </c>
      <c r="K36" s="100">
        <f>IF(进出口预算表!C6=B2,VLOOKUP(进出口预算表!C8,澳大利亚汇率,3,0),IF(进出口预算表!C6=B13,VLOOKUP(进出口预算表!C8,巴西汇率,3,0),IF(进出口预算表!C6=B24,VLOOKUP(进出口预算表!C8,古巴汇率,3,0),IF(进出口预算表!C6=B35,VLOOKUP(进出口预算表!C8,德国汇率,3,0),IF(进出口预算表!C6=B46,VLOOKUP(进出口预算表!C8,英国汇率,3,0),IF(进出口预算表!C6=B57,VLOOKUP(进出口预算表!C8,日本汇率,3,0),IF(进出口预算表!C6=B68,VLOOKUP(进出口预算表!C8,中国汇率,3,0),IF(进出口预算表!C6=B79,VLOOKUP(进出口预算表!C8,俄罗斯汇率,3,0),IF(进出口预算表!C6=B90,VLOOKUP(进出口预算表!C8,美国汇率,3,0),IF(进出口预算表!C6=B101,VLOOKUP(进出口预算表!C8,南非汇率,3,0),0))))))))))</f>
        <v>0.52429999999999999</v>
      </c>
    </row>
    <row r="37" spans="1:20" ht="13.15" customHeight="1" x14ac:dyDescent="0.35">
      <c r="A37" s="50" t="s">
        <v>69</v>
      </c>
      <c r="B37" s="50" t="s">
        <v>342</v>
      </c>
      <c r="C37" s="50" t="s">
        <v>343</v>
      </c>
      <c r="D37" s="50" t="s">
        <v>340</v>
      </c>
      <c r="E37" s="50" t="s">
        <v>341</v>
      </c>
      <c r="F37" s="107">
        <v>1.3222</v>
      </c>
    </row>
    <row r="38" spans="1:20" ht="13.15" customHeight="1" x14ac:dyDescent="0.35">
      <c r="A38" s="50" t="s">
        <v>38</v>
      </c>
      <c r="B38" s="50" t="s">
        <v>342</v>
      </c>
      <c r="C38" s="50" t="s">
        <v>343</v>
      </c>
      <c r="D38" s="50" t="s">
        <v>342</v>
      </c>
      <c r="E38" s="50" t="s">
        <v>343</v>
      </c>
      <c r="F38" s="107">
        <v>1</v>
      </c>
    </row>
    <row r="39" spans="1:20" ht="13.15" customHeight="1" x14ac:dyDescent="0.35">
      <c r="A39" s="50" t="s">
        <v>45</v>
      </c>
      <c r="B39" s="50" t="s">
        <v>342</v>
      </c>
      <c r="C39" s="50" t="s">
        <v>343</v>
      </c>
      <c r="D39" s="50" t="s">
        <v>334</v>
      </c>
      <c r="E39" s="50" t="s">
        <v>335</v>
      </c>
      <c r="F39" s="107">
        <v>0.81520000000000004</v>
      </c>
    </row>
    <row r="40" spans="1:20" ht="13.15" customHeight="1" x14ac:dyDescent="0.35">
      <c r="A40" s="50" t="s">
        <v>52</v>
      </c>
      <c r="B40" s="50" t="s">
        <v>342</v>
      </c>
      <c r="C40" s="50" t="s">
        <v>343</v>
      </c>
      <c r="D40" s="50" t="s">
        <v>344</v>
      </c>
      <c r="E40" s="50" t="s">
        <v>345</v>
      </c>
      <c r="F40" s="107">
        <v>106.0283</v>
      </c>
    </row>
    <row r="41" spans="1:20" ht="13.15" customHeight="1" x14ac:dyDescent="0.35">
      <c r="A41" s="50" t="s">
        <v>16</v>
      </c>
      <c r="B41" s="50" t="s">
        <v>342</v>
      </c>
      <c r="C41" s="50" t="s">
        <v>343</v>
      </c>
      <c r="D41" s="50" t="s">
        <v>134</v>
      </c>
      <c r="E41" s="50" t="s">
        <v>346</v>
      </c>
      <c r="F41" s="107">
        <v>8.3263999999999996</v>
      </c>
    </row>
    <row r="42" spans="1:20" ht="13.15" customHeight="1" x14ac:dyDescent="0.35">
      <c r="A42" s="50" t="s">
        <v>56</v>
      </c>
      <c r="B42" s="50" t="s">
        <v>342</v>
      </c>
      <c r="C42" s="50" t="s">
        <v>343</v>
      </c>
      <c r="D42" s="50" t="s">
        <v>336</v>
      </c>
      <c r="E42" s="50" t="s">
        <v>337</v>
      </c>
      <c r="F42" s="107">
        <v>38.820999999999998</v>
      </c>
    </row>
    <row r="43" spans="1:20" ht="13.15" customHeight="1" x14ac:dyDescent="0.35">
      <c r="A43" s="50" t="s">
        <v>64</v>
      </c>
      <c r="B43" s="50" t="s">
        <v>342</v>
      </c>
      <c r="C43" s="50" t="s">
        <v>343</v>
      </c>
      <c r="D43" s="50" t="s">
        <v>127</v>
      </c>
      <c r="E43" s="50" t="s">
        <v>347</v>
      </c>
      <c r="F43" s="107">
        <v>1.3222</v>
      </c>
    </row>
    <row r="44" spans="1:20" ht="13.15" customHeight="1" x14ac:dyDescent="0.35">
      <c r="A44" s="50" t="s">
        <v>11</v>
      </c>
      <c r="B44" s="50" t="s">
        <v>342</v>
      </c>
      <c r="C44" s="50" t="s">
        <v>343</v>
      </c>
      <c r="D44" s="50" t="s">
        <v>348</v>
      </c>
      <c r="E44" s="50" t="s">
        <v>349</v>
      </c>
      <c r="F44" s="107">
        <v>10.220599999999999</v>
      </c>
    </row>
    <row r="45" spans="1:20" ht="13.15" customHeight="1" x14ac:dyDescent="0.35">
      <c r="A45" s="101"/>
      <c r="B45" s="102"/>
      <c r="C45" s="102" t="s">
        <v>330</v>
      </c>
      <c r="D45" s="102"/>
      <c r="E45" s="102"/>
      <c r="F45" s="103"/>
    </row>
    <row r="46" spans="1:20" ht="13.15" customHeight="1" x14ac:dyDescent="0.35">
      <c r="A46" s="50" t="s">
        <v>21</v>
      </c>
      <c r="B46" s="50" t="s">
        <v>334</v>
      </c>
      <c r="C46" s="50" t="s">
        <v>335</v>
      </c>
      <c r="D46" s="50" t="s">
        <v>332</v>
      </c>
      <c r="E46" s="50" t="s">
        <v>333</v>
      </c>
      <c r="F46" s="53">
        <v>1.5679000000000001</v>
      </c>
    </row>
    <row r="47" spans="1:20" ht="13.15" customHeight="1" x14ac:dyDescent="0.35">
      <c r="A47" s="50" t="s">
        <v>74</v>
      </c>
      <c r="B47" s="50" t="s">
        <v>334</v>
      </c>
      <c r="C47" s="50" t="s">
        <v>335</v>
      </c>
      <c r="D47" s="50" t="s">
        <v>338</v>
      </c>
      <c r="E47" s="50" t="s">
        <v>339</v>
      </c>
      <c r="F47" s="53">
        <v>3.0939999999999999</v>
      </c>
    </row>
    <row r="48" spans="1:20" ht="13.15" customHeight="1" x14ac:dyDescent="0.35">
      <c r="A48" s="50" t="s">
        <v>69</v>
      </c>
      <c r="B48" s="50" t="s">
        <v>334</v>
      </c>
      <c r="C48" s="50" t="s">
        <v>335</v>
      </c>
      <c r="D48" s="50" t="s">
        <v>340</v>
      </c>
      <c r="E48" s="50" t="s">
        <v>341</v>
      </c>
      <c r="F48" s="53">
        <v>1.6221000000000001</v>
      </c>
    </row>
    <row r="49" spans="1:6" ht="13.15" customHeight="1" x14ac:dyDescent="0.35">
      <c r="A49" s="50" t="s">
        <v>38</v>
      </c>
      <c r="B49" s="50" t="s">
        <v>334</v>
      </c>
      <c r="C49" s="50" t="s">
        <v>335</v>
      </c>
      <c r="D49" s="50" t="s">
        <v>342</v>
      </c>
      <c r="E49" s="50" t="s">
        <v>343</v>
      </c>
      <c r="F49" s="53">
        <v>1.2267999999999999</v>
      </c>
    </row>
    <row r="50" spans="1:6" ht="13.15" customHeight="1" x14ac:dyDescent="0.35">
      <c r="A50" s="50" t="s">
        <v>45</v>
      </c>
      <c r="B50" s="50" t="s">
        <v>334</v>
      </c>
      <c r="C50" s="50" t="s">
        <v>335</v>
      </c>
      <c r="D50" s="50" t="s">
        <v>334</v>
      </c>
      <c r="E50" s="50" t="s">
        <v>335</v>
      </c>
      <c r="F50" s="53">
        <v>1</v>
      </c>
    </row>
    <row r="51" spans="1:6" ht="13.15" customHeight="1" x14ac:dyDescent="0.35">
      <c r="A51" s="50" t="s">
        <v>52</v>
      </c>
      <c r="B51" s="50" t="s">
        <v>334</v>
      </c>
      <c r="C51" s="50" t="s">
        <v>335</v>
      </c>
      <c r="D51" s="50" t="s">
        <v>344</v>
      </c>
      <c r="E51" s="50" t="s">
        <v>345</v>
      </c>
      <c r="F51" s="53">
        <v>130.07149999999999</v>
      </c>
    </row>
    <row r="52" spans="1:6" ht="13.15" customHeight="1" x14ac:dyDescent="0.35">
      <c r="A52" s="50" t="s">
        <v>16</v>
      </c>
      <c r="B52" s="50" t="s">
        <v>334</v>
      </c>
      <c r="C52" s="50" t="s">
        <v>335</v>
      </c>
      <c r="D52" s="50" t="s">
        <v>134</v>
      </c>
      <c r="E52" s="50" t="s">
        <v>346</v>
      </c>
      <c r="F52" s="53">
        <v>10.214499999999999</v>
      </c>
    </row>
    <row r="53" spans="1:6" ht="13.15" customHeight="1" x14ac:dyDescent="0.35">
      <c r="A53" s="50" t="s">
        <v>56</v>
      </c>
      <c r="B53" s="50" t="s">
        <v>334</v>
      </c>
      <c r="C53" s="50" t="s">
        <v>335</v>
      </c>
      <c r="D53" s="50" t="s">
        <v>336</v>
      </c>
      <c r="E53" s="50" t="s">
        <v>337</v>
      </c>
      <c r="F53" s="53">
        <v>47.624099999999999</v>
      </c>
    </row>
    <row r="54" spans="1:6" ht="13.15" customHeight="1" x14ac:dyDescent="0.35">
      <c r="A54" s="50" t="s">
        <v>64</v>
      </c>
      <c r="B54" s="50" t="s">
        <v>334</v>
      </c>
      <c r="C54" s="50" t="s">
        <v>335</v>
      </c>
      <c r="D54" s="50" t="s">
        <v>127</v>
      </c>
      <c r="E54" s="50" t="s">
        <v>347</v>
      </c>
      <c r="F54" s="53">
        <v>1.6221000000000001</v>
      </c>
    </row>
    <row r="55" spans="1:6" ht="13.15" customHeight="1" x14ac:dyDescent="0.35">
      <c r="A55" s="50" t="s">
        <v>11</v>
      </c>
      <c r="B55" s="50" t="s">
        <v>334</v>
      </c>
      <c r="C55" s="50" t="s">
        <v>335</v>
      </c>
      <c r="D55" s="50" t="s">
        <v>348</v>
      </c>
      <c r="E55" s="50" t="s">
        <v>349</v>
      </c>
      <c r="F55" s="53">
        <v>12.5383</v>
      </c>
    </row>
    <row r="56" spans="1:6" ht="13.15" customHeight="1" x14ac:dyDescent="0.35">
      <c r="A56" s="101"/>
      <c r="B56" s="102"/>
      <c r="C56" s="102" t="s">
        <v>351</v>
      </c>
      <c r="D56" s="102"/>
      <c r="E56" s="102"/>
      <c r="F56" s="103"/>
    </row>
    <row r="57" spans="1:6" ht="13.15" customHeight="1" x14ac:dyDescent="0.35">
      <c r="A57" s="50" t="s">
        <v>21</v>
      </c>
      <c r="B57" s="50" t="s">
        <v>344</v>
      </c>
      <c r="C57" s="50" t="s">
        <v>345</v>
      </c>
      <c r="D57" s="50" t="s">
        <v>332</v>
      </c>
      <c r="E57" s="50" t="s">
        <v>333</v>
      </c>
      <c r="F57" s="53">
        <v>1.21E-2</v>
      </c>
    </row>
    <row r="58" spans="1:6" ht="13.15" customHeight="1" x14ac:dyDescent="0.35">
      <c r="A58" s="50" t="s">
        <v>74</v>
      </c>
      <c r="B58" s="50" t="s">
        <v>344</v>
      </c>
      <c r="C58" s="50" t="s">
        <v>345</v>
      </c>
      <c r="D58" s="50" t="s">
        <v>338</v>
      </c>
      <c r="E58" s="50" t="s">
        <v>339</v>
      </c>
      <c r="F58" s="53">
        <v>2.3800000000000002E-2</v>
      </c>
    </row>
    <row r="59" spans="1:6" ht="13.15" customHeight="1" x14ac:dyDescent="0.35">
      <c r="A59" s="50" t="s">
        <v>69</v>
      </c>
      <c r="B59" s="50" t="s">
        <v>344</v>
      </c>
      <c r="C59" s="50" t="s">
        <v>345</v>
      </c>
      <c r="D59" s="50" t="s">
        <v>340</v>
      </c>
      <c r="E59" s="50" t="s">
        <v>341</v>
      </c>
      <c r="F59" s="53">
        <v>1.2500000000000001E-2</v>
      </c>
    </row>
    <row r="60" spans="1:6" ht="13.15" customHeight="1" x14ac:dyDescent="0.35">
      <c r="A60" s="50" t="s">
        <v>38</v>
      </c>
      <c r="B60" s="50" t="s">
        <v>344</v>
      </c>
      <c r="C60" s="50" t="s">
        <v>345</v>
      </c>
      <c r="D60" s="50" t="s">
        <v>342</v>
      </c>
      <c r="E60" s="50" t="s">
        <v>343</v>
      </c>
      <c r="F60" s="53">
        <v>9.4000000000000004E-3</v>
      </c>
    </row>
    <row r="61" spans="1:6" ht="13.15" customHeight="1" x14ac:dyDescent="0.35">
      <c r="A61" s="50" t="s">
        <v>45</v>
      </c>
      <c r="B61" s="50" t="s">
        <v>344</v>
      </c>
      <c r="C61" s="50" t="s">
        <v>345</v>
      </c>
      <c r="D61" s="50" t="s">
        <v>334</v>
      </c>
      <c r="E61" s="50" t="s">
        <v>335</v>
      </c>
      <c r="F61" s="53">
        <v>7.7000000000000002E-3</v>
      </c>
    </row>
    <row r="62" spans="1:6" ht="13.15" customHeight="1" x14ac:dyDescent="0.35">
      <c r="A62" s="50" t="s">
        <v>52</v>
      </c>
      <c r="B62" s="50" t="s">
        <v>344</v>
      </c>
      <c r="C62" s="50" t="s">
        <v>345</v>
      </c>
      <c r="D62" s="50" t="s">
        <v>344</v>
      </c>
      <c r="E62" s="50" t="s">
        <v>345</v>
      </c>
      <c r="F62" s="53">
        <v>1</v>
      </c>
    </row>
    <row r="63" spans="1:6" ht="13.15" customHeight="1" x14ac:dyDescent="0.35">
      <c r="A63" s="50" t="s">
        <v>16</v>
      </c>
      <c r="B63" s="50" t="s">
        <v>344</v>
      </c>
      <c r="C63" s="50" t="s">
        <v>345</v>
      </c>
      <c r="D63" s="50" t="s">
        <v>134</v>
      </c>
      <c r="E63" s="50" t="s">
        <v>346</v>
      </c>
      <c r="F63" s="53">
        <v>7.85E-2</v>
      </c>
    </row>
    <row r="64" spans="1:6" ht="13.15" customHeight="1" x14ac:dyDescent="0.35">
      <c r="A64" s="50" t="s">
        <v>56</v>
      </c>
      <c r="B64" s="50" t="s">
        <v>344</v>
      </c>
      <c r="C64" s="50" t="s">
        <v>345</v>
      </c>
      <c r="D64" s="50" t="s">
        <v>336</v>
      </c>
      <c r="E64" s="50" t="s">
        <v>337</v>
      </c>
      <c r="F64" s="53">
        <v>0.36609999999999998</v>
      </c>
    </row>
    <row r="65" spans="1:6" ht="13.15" customHeight="1" x14ac:dyDescent="0.35">
      <c r="A65" s="50" t="s">
        <v>64</v>
      </c>
      <c r="B65" s="50" t="s">
        <v>344</v>
      </c>
      <c r="C65" s="50" t="s">
        <v>345</v>
      </c>
      <c r="D65" s="50" t="s">
        <v>127</v>
      </c>
      <c r="E65" s="50" t="s">
        <v>347</v>
      </c>
      <c r="F65" s="53">
        <v>1.2500000000000001E-2</v>
      </c>
    </row>
    <row r="66" spans="1:6" ht="13.15" customHeight="1" x14ac:dyDescent="0.35">
      <c r="A66" s="50" t="s">
        <v>11</v>
      </c>
      <c r="B66" s="50" t="s">
        <v>344</v>
      </c>
      <c r="C66" s="50" t="s">
        <v>345</v>
      </c>
      <c r="D66" s="50" t="s">
        <v>348</v>
      </c>
      <c r="E66" s="50" t="s">
        <v>349</v>
      </c>
      <c r="F66" s="53">
        <v>9.64E-2</v>
      </c>
    </row>
    <row r="67" spans="1:6" ht="13.15" customHeight="1" x14ac:dyDescent="0.35">
      <c r="A67" s="104"/>
      <c r="B67" s="104"/>
      <c r="C67" s="104" t="s">
        <v>354</v>
      </c>
      <c r="D67" s="104"/>
      <c r="E67" s="104"/>
      <c r="F67" s="104"/>
    </row>
    <row r="68" spans="1:6" ht="13.15" customHeight="1" x14ac:dyDescent="0.35">
      <c r="A68" s="50" t="s">
        <v>21</v>
      </c>
      <c r="B68" s="50" t="s">
        <v>134</v>
      </c>
      <c r="C68" s="50" t="s">
        <v>346</v>
      </c>
      <c r="D68" s="50" t="s">
        <v>332</v>
      </c>
      <c r="E68" s="50" t="s">
        <v>333</v>
      </c>
      <c r="F68" s="53">
        <v>0.14430000000000001</v>
      </c>
    </row>
    <row r="69" spans="1:6" ht="13.15" customHeight="1" x14ac:dyDescent="0.35">
      <c r="A69" s="50" t="s">
        <v>74</v>
      </c>
      <c r="B69" s="50" t="s">
        <v>134</v>
      </c>
      <c r="C69" s="50" t="s">
        <v>346</v>
      </c>
      <c r="D69" s="50" t="s">
        <v>338</v>
      </c>
      <c r="E69" s="50" t="s">
        <v>339</v>
      </c>
      <c r="F69" s="53">
        <v>0.24340000000000001</v>
      </c>
    </row>
    <row r="70" spans="1:6" ht="13.15" customHeight="1" x14ac:dyDescent="0.35">
      <c r="A70" s="50" t="s">
        <v>69</v>
      </c>
      <c r="B70" s="50" t="s">
        <v>134</v>
      </c>
      <c r="C70" s="50" t="s">
        <v>346</v>
      </c>
      <c r="D70" s="50" t="s">
        <v>340</v>
      </c>
      <c r="E70" s="50" t="s">
        <v>341</v>
      </c>
      <c r="F70" s="53">
        <v>0.1552</v>
      </c>
    </row>
    <row r="71" spans="1:6" ht="13.15" customHeight="1" x14ac:dyDescent="0.35">
      <c r="A71" s="50" t="s">
        <v>38</v>
      </c>
      <c r="B71" s="50" t="s">
        <v>134</v>
      </c>
      <c r="C71" s="50" t="s">
        <v>346</v>
      </c>
      <c r="D71" s="50" t="s">
        <v>342</v>
      </c>
      <c r="E71" s="50" t="s">
        <v>343</v>
      </c>
      <c r="F71" s="53">
        <v>9.8799999999999999E-2</v>
      </c>
    </row>
    <row r="72" spans="1:6" ht="13.15" customHeight="1" x14ac:dyDescent="0.35">
      <c r="A72" s="50" t="s">
        <v>45</v>
      </c>
      <c r="B72" s="50" t="s">
        <v>134</v>
      </c>
      <c r="C72" s="50" t="s">
        <v>346</v>
      </c>
      <c r="D72" s="50" t="s">
        <v>334</v>
      </c>
      <c r="E72" s="50" t="s">
        <v>335</v>
      </c>
      <c r="F72" s="53">
        <v>9.5399999999999999E-2</v>
      </c>
    </row>
    <row r="73" spans="1:6" ht="13.15" customHeight="1" x14ac:dyDescent="0.35">
      <c r="A73" s="50" t="s">
        <v>52</v>
      </c>
      <c r="B73" s="50" t="s">
        <v>134</v>
      </c>
      <c r="C73" s="50" t="s">
        <v>346</v>
      </c>
      <c r="D73" s="50" t="s">
        <v>344</v>
      </c>
      <c r="E73" s="50" t="s">
        <v>345</v>
      </c>
      <c r="F73" s="53">
        <v>11.9993</v>
      </c>
    </row>
    <row r="74" spans="1:6" ht="13.15" customHeight="1" x14ac:dyDescent="0.35">
      <c r="A74" s="50" t="s">
        <v>16</v>
      </c>
      <c r="B74" s="50" t="s">
        <v>134</v>
      </c>
      <c r="C74" s="50" t="s">
        <v>346</v>
      </c>
      <c r="D74" s="50" t="s">
        <v>134</v>
      </c>
      <c r="E74" s="50" t="s">
        <v>346</v>
      </c>
      <c r="F74" s="53">
        <v>1</v>
      </c>
    </row>
    <row r="75" spans="1:6" ht="13.15" customHeight="1" x14ac:dyDescent="0.35">
      <c r="A75" s="50" t="s">
        <v>56</v>
      </c>
      <c r="B75" s="50" t="s">
        <v>134</v>
      </c>
      <c r="C75" s="50" t="s">
        <v>346</v>
      </c>
      <c r="D75" s="50" t="s">
        <v>336</v>
      </c>
      <c r="E75" s="50" t="s">
        <v>337</v>
      </c>
      <c r="F75" s="53">
        <v>4.3231999999999999</v>
      </c>
    </row>
    <row r="76" spans="1:6" ht="13.15" customHeight="1" x14ac:dyDescent="0.35">
      <c r="A76" s="50" t="s">
        <v>64</v>
      </c>
      <c r="B76" s="50" t="s">
        <v>134</v>
      </c>
      <c r="C76" s="50" t="s">
        <v>346</v>
      </c>
      <c r="D76" s="50" t="s">
        <v>127</v>
      </c>
      <c r="E76" s="50" t="s">
        <v>347</v>
      </c>
      <c r="F76" s="53">
        <v>0.15540000000000001</v>
      </c>
    </row>
    <row r="77" spans="1:6" ht="13.15" customHeight="1" x14ac:dyDescent="0.35">
      <c r="A77" s="50" t="s">
        <v>11</v>
      </c>
      <c r="B77" s="50" t="s">
        <v>134</v>
      </c>
      <c r="C77" s="50" t="s">
        <v>346</v>
      </c>
      <c r="D77" s="50" t="s">
        <v>348</v>
      </c>
      <c r="E77" s="50" t="s">
        <v>349</v>
      </c>
      <c r="F77" s="53">
        <v>1.054</v>
      </c>
    </row>
    <row r="78" spans="1:6" ht="13.15" customHeight="1" x14ac:dyDescent="0.35">
      <c r="A78" s="101"/>
      <c r="B78" s="102"/>
      <c r="C78" s="102" t="s">
        <v>331</v>
      </c>
      <c r="D78" s="102"/>
      <c r="E78" s="102"/>
      <c r="F78" s="103"/>
    </row>
    <row r="79" spans="1:6" ht="13.15" customHeight="1" x14ac:dyDescent="0.35">
      <c r="A79" s="50" t="s">
        <v>21</v>
      </c>
      <c r="B79" s="50" t="s">
        <v>336</v>
      </c>
      <c r="C79" s="50" t="s">
        <v>337</v>
      </c>
      <c r="D79" s="50" t="s">
        <v>332</v>
      </c>
      <c r="E79" s="50" t="s">
        <v>333</v>
      </c>
      <c r="F79" s="53">
        <v>3.2899999999999999E-2</v>
      </c>
    </row>
    <row r="80" spans="1:6" ht="13.15" customHeight="1" x14ac:dyDescent="0.35">
      <c r="A80" s="50" t="s">
        <v>74</v>
      </c>
      <c r="B80" s="50" t="s">
        <v>336</v>
      </c>
      <c r="C80" s="50" t="s">
        <v>337</v>
      </c>
      <c r="D80" s="50" t="s">
        <v>338</v>
      </c>
      <c r="E80" s="50" t="s">
        <v>339</v>
      </c>
      <c r="F80" s="53">
        <v>6.5000000000000002E-2</v>
      </c>
    </row>
    <row r="81" spans="1:6" ht="13.15" customHeight="1" x14ac:dyDescent="0.35">
      <c r="A81" s="50" t="s">
        <v>69</v>
      </c>
      <c r="B81" s="50" t="s">
        <v>336</v>
      </c>
      <c r="C81" s="50" t="s">
        <v>337</v>
      </c>
      <c r="D81" s="50" t="s">
        <v>340</v>
      </c>
      <c r="E81" s="50" t="s">
        <v>341</v>
      </c>
      <c r="F81" s="53">
        <v>3.4099999999999998E-2</v>
      </c>
    </row>
    <row r="82" spans="1:6" ht="13.15" customHeight="1" x14ac:dyDescent="0.35">
      <c r="A82" s="50" t="s">
        <v>38</v>
      </c>
      <c r="B82" s="50" t="s">
        <v>336</v>
      </c>
      <c r="C82" s="50" t="s">
        <v>337</v>
      </c>
      <c r="D82" s="50" t="s">
        <v>342</v>
      </c>
      <c r="E82" s="50" t="s">
        <v>343</v>
      </c>
      <c r="F82" s="53">
        <v>2.58E-2</v>
      </c>
    </row>
    <row r="83" spans="1:6" ht="13.15" customHeight="1" x14ac:dyDescent="0.35">
      <c r="A83" s="50" t="s">
        <v>45</v>
      </c>
      <c r="B83" s="50" t="s">
        <v>336</v>
      </c>
      <c r="C83" s="50" t="s">
        <v>337</v>
      </c>
      <c r="D83" s="50" t="s">
        <v>334</v>
      </c>
      <c r="E83" s="50" t="s">
        <v>335</v>
      </c>
      <c r="F83" s="53">
        <v>2.1000000000000001E-2</v>
      </c>
    </row>
    <row r="84" spans="1:6" ht="13.15" customHeight="1" x14ac:dyDescent="0.35">
      <c r="A84" s="50" t="s">
        <v>52</v>
      </c>
      <c r="B84" s="50" t="s">
        <v>336</v>
      </c>
      <c r="C84" s="50" t="s">
        <v>337</v>
      </c>
      <c r="D84" s="50" t="s">
        <v>344</v>
      </c>
      <c r="E84" s="50" t="s">
        <v>345</v>
      </c>
      <c r="F84" s="53">
        <v>2.7311999999999999</v>
      </c>
    </row>
    <row r="85" spans="1:6" ht="13.15" customHeight="1" x14ac:dyDescent="0.35">
      <c r="A85" s="50" t="s">
        <v>16</v>
      </c>
      <c r="B85" s="50" t="s">
        <v>336</v>
      </c>
      <c r="C85" s="50" t="s">
        <v>337</v>
      </c>
      <c r="D85" s="50" t="s">
        <v>134</v>
      </c>
      <c r="E85" s="50" t="s">
        <v>346</v>
      </c>
      <c r="F85" s="53">
        <v>0.2145</v>
      </c>
    </row>
    <row r="86" spans="1:6" ht="13.15" customHeight="1" x14ac:dyDescent="0.35">
      <c r="A86" s="50" t="s">
        <v>56</v>
      </c>
      <c r="B86" s="50" t="s">
        <v>336</v>
      </c>
      <c r="C86" s="50" t="s">
        <v>337</v>
      </c>
      <c r="D86" s="50" t="s">
        <v>336</v>
      </c>
      <c r="E86" s="50" t="s">
        <v>337</v>
      </c>
      <c r="F86" s="53">
        <v>1</v>
      </c>
    </row>
    <row r="87" spans="1:6" ht="13.15" customHeight="1" x14ac:dyDescent="0.35">
      <c r="A87" s="50" t="s">
        <v>64</v>
      </c>
      <c r="B87" s="50" t="s">
        <v>336</v>
      </c>
      <c r="C87" s="50" t="s">
        <v>337</v>
      </c>
      <c r="D87" s="50" t="s">
        <v>127</v>
      </c>
      <c r="E87" s="50" t="s">
        <v>347</v>
      </c>
      <c r="F87" s="53">
        <v>3.4099999999999998E-2</v>
      </c>
    </row>
    <row r="88" spans="1:6" ht="13.15" customHeight="1" x14ac:dyDescent="0.35">
      <c r="A88" s="50" t="s">
        <v>11</v>
      </c>
      <c r="B88" s="50" t="s">
        <v>336</v>
      </c>
      <c r="C88" s="50" t="s">
        <v>337</v>
      </c>
      <c r="D88" s="50" t="s">
        <v>348</v>
      </c>
      <c r="E88" s="50" t="s">
        <v>349</v>
      </c>
      <c r="F88" s="53">
        <v>0.26329999999999998</v>
      </c>
    </row>
    <row r="89" spans="1:6" ht="13.15" customHeight="1" x14ac:dyDescent="0.35">
      <c r="A89" s="101"/>
      <c r="B89" s="102"/>
      <c r="C89" s="102" t="s">
        <v>357</v>
      </c>
      <c r="D89" s="102"/>
      <c r="E89" s="102"/>
      <c r="F89" s="103"/>
    </row>
    <row r="90" spans="1:6" ht="13.15" customHeight="1" x14ac:dyDescent="0.35">
      <c r="A90" s="50" t="s">
        <v>21</v>
      </c>
      <c r="B90" s="50" t="s">
        <v>127</v>
      </c>
      <c r="C90" s="50" t="s">
        <v>347</v>
      </c>
      <c r="D90" s="50" t="s">
        <v>332</v>
      </c>
      <c r="E90" s="50" t="s">
        <v>333</v>
      </c>
      <c r="F90" s="53">
        <v>0.96660000000000001</v>
      </c>
    </row>
    <row r="91" spans="1:6" ht="13.15" customHeight="1" x14ac:dyDescent="0.35">
      <c r="A91" s="50" t="s">
        <v>74</v>
      </c>
      <c r="B91" s="50" t="s">
        <v>127</v>
      </c>
      <c r="C91" s="50" t="s">
        <v>347</v>
      </c>
      <c r="D91" s="50" t="s">
        <v>338</v>
      </c>
      <c r="E91" s="50" t="s">
        <v>339</v>
      </c>
      <c r="F91" s="53">
        <v>1.9074</v>
      </c>
    </row>
    <row r="92" spans="1:6" ht="13.15" customHeight="1" x14ac:dyDescent="0.35">
      <c r="A92" s="50" t="s">
        <v>69</v>
      </c>
      <c r="B92" s="50" t="s">
        <v>127</v>
      </c>
      <c r="C92" s="50" t="s">
        <v>347</v>
      </c>
      <c r="D92" s="50" t="s">
        <v>340</v>
      </c>
      <c r="E92" s="50" t="s">
        <v>341</v>
      </c>
      <c r="F92" s="53">
        <v>1</v>
      </c>
    </row>
    <row r="93" spans="1:6" ht="13.15" customHeight="1" x14ac:dyDescent="0.35">
      <c r="A93" s="50" t="s">
        <v>38</v>
      </c>
      <c r="B93" s="50" t="s">
        <v>127</v>
      </c>
      <c r="C93" s="50" t="s">
        <v>347</v>
      </c>
      <c r="D93" s="50" t="s">
        <v>342</v>
      </c>
      <c r="E93" s="50" t="s">
        <v>343</v>
      </c>
      <c r="F93" s="53">
        <v>0.75629999999999997</v>
      </c>
    </row>
    <row r="94" spans="1:6" ht="13.15" customHeight="1" x14ac:dyDescent="0.35">
      <c r="A94" s="50" t="s">
        <v>45</v>
      </c>
      <c r="B94" s="50" t="s">
        <v>127</v>
      </c>
      <c r="C94" s="50" t="s">
        <v>347</v>
      </c>
      <c r="D94" s="50" t="s">
        <v>334</v>
      </c>
      <c r="E94" s="50" t="s">
        <v>335</v>
      </c>
      <c r="F94" s="53">
        <v>0.61650000000000005</v>
      </c>
    </row>
    <row r="95" spans="1:6" ht="13.15" customHeight="1" x14ac:dyDescent="0.35">
      <c r="A95" s="50" t="s">
        <v>52</v>
      </c>
      <c r="B95" s="50" t="s">
        <v>127</v>
      </c>
      <c r="C95" s="50" t="s">
        <v>347</v>
      </c>
      <c r="D95" s="50" t="s">
        <v>344</v>
      </c>
      <c r="E95" s="50" t="s">
        <v>345</v>
      </c>
      <c r="F95" s="53">
        <v>80.188900000000004</v>
      </c>
    </row>
    <row r="96" spans="1:6" ht="13.15" customHeight="1" x14ac:dyDescent="0.35">
      <c r="A96" s="50" t="s">
        <v>16</v>
      </c>
      <c r="B96" s="50" t="s">
        <v>127</v>
      </c>
      <c r="C96" s="50" t="s">
        <v>347</v>
      </c>
      <c r="D96" s="50" t="s">
        <v>134</v>
      </c>
      <c r="E96" s="50" t="s">
        <v>346</v>
      </c>
      <c r="F96" s="53">
        <v>6.2972000000000001</v>
      </c>
    </row>
    <row r="97" spans="1:6" ht="13.15" customHeight="1" x14ac:dyDescent="0.35">
      <c r="A97" s="50" t="s">
        <v>56</v>
      </c>
      <c r="B97" s="50" t="s">
        <v>127</v>
      </c>
      <c r="C97" s="50" t="s">
        <v>347</v>
      </c>
      <c r="D97" s="50" t="s">
        <v>336</v>
      </c>
      <c r="E97" s="50" t="s">
        <v>337</v>
      </c>
      <c r="F97" s="53">
        <v>29.360199999999999</v>
      </c>
    </row>
    <row r="98" spans="1:6" ht="13.15" customHeight="1" x14ac:dyDescent="0.35">
      <c r="A98" s="50" t="s">
        <v>64</v>
      </c>
      <c r="B98" s="50" t="s">
        <v>127</v>
      </c>
      <c r="C98" s="50" t="s">
        <v>347</v>
      </c>
      <c r="D98" s="50" t="s">
        <v>127</v>
      </c>
      <c r="E98" s="50" t="s">
        <v>347</v>
      </c>
      <c r="F98" s="53">
        <v>1</v>
      </c>
    </row>
    <row r="99" spans="1:6" ht="13.15" customHeight="1" x14ac:dyDescent="0.35">
      <c r="A99" s="50" t="s">
        <v>11</v>
      </c>
      <c r="B99" s="50" t="s">
        <v>127</v>
      </c>
      <c r="C99" s="50" t="s">
        <v>347</v>
      </c>
      <c r="D99" s="50" t="s">
        <v>348</v>
      </c>
      <c r="E99" s="50" t="s">
        <v>349</v>
      </c>
      <c r="F99" s="53">
        <v>7.7298</v>
      </c>
    </row>
    <row r="100" spans="1:6" ht="13.15" customHeight="1" x14ac:dyDescent="0.35">
      <c r="A100" s="104"/>
      <c r="B100" s="104"/>
      <c r="C100" s="104" t="s">
        <v>355</v>
      </c>
      <c r="D100" s="104"/>
      <c r="E100" s="104"/>
      <c r="F100" s="104"/>
    </row>
    <row r="101" spans="1:6" ht="13.15" customHeight="1" x14ac:dyDescent="0.35">
      <c r="A101" s="50" t="s">
        <v>21</v>
      </c>
      <c r="B101" s="50" t="s">
        <v>348</v>
      </c>
      <c r="C101" s="50" t="s">
        <v>349</v>
      </c>
      <c r="D101" s="50" t="s">
        <v>332</v>
      </c>
      <c r="E101" s="50" t="s">
        <v>333</v>
      </c>
      <c r="F101" s="53">
        <v>0.12509999999999999</v>
      </c>
    </row>
    <row r="102" spans="1:6" ht="13.15" customHeight="1" x14ac:dyDescent="0.35">
      <c r="A102" s="50" t="s">
        <v>74</v>
      </c>
      <c r="B102" s="50" t="s">
        <v>348</v>
      </c>
      <c r="C102" s="50" t="s">
        <v>349</v>
      </c>
      <c r="D102" s="50" t="s">
        <v>338</v>
      </c>
      <c r="E102" s="50" t="s">
        <v>339</v>
      </c>
      <c r="F102" s="53">
        <v>0.24679999999999999</v>
      </c>
    </row>
    <row r="103" spans="1:6" ht="13.15" customHeight="1" x14ac:dyDescent="0.35">
      <c r="A103" s="50" t="s">
        <v>69</v>
      </c>
      <c r="B103" s="50" t="s">
        <v>348</v>
      </c>
      <c r="C103" s="50" t="s">
        <v>349</v>
      </c>
      <c r="D103" s="50" t="s">
        <v>340</v>
      </c>
      <c r="E103" s="50" t="s">
        <v>341</v>
      </c>
      <c r="F103" s="53">
        <v>0.12939999999999999</v>
      </c>
    </row>
    <row r="104" spans="1:6" ht="13.15" customHeight="1" x14ac:dyDescent="0.35">
      <c r="A104" s="50" t="s">
        <v>38</v>
      </c>
      <c r="B104" s="50" t="s">
        <v>348</v>
      </c>
      <c r="C104" s="50" t="s">
        <v>349</v>
      </c>
      <c r="D104" s="50" t="s">
        <v>342</v>
      </c>
      <c r="E104" s="50" t="s">
        <v>343</v>
      </c>
      <c r="F104" s="53">
        <v>9.7799999999999998E-2</v>
      </c>
    </row>
    <row r="105" spans="1:6" ht="13.15" customHeight="1" x14ac:dyDescent="0.35">
      <c r="A105" s="50" t="s">
        <v>45</v>
      </c>
      <c r="B105" s="50" t="s">
        <v>348</v>
      </c>
      <c r="C105" s="50" t="s">
        <v>349</v>
      </c>
      <c r="D105" s="50" t="s">
        <v>334</v>
      </c>
      <c r="E105" s="50" t="s">
        <v>335</v>
      </c>
      <c r="F105" s="53">
        <v>7.9799999999999996E-2</v>
      </c>
    </row>
    <row r="106" spans="1:6" ht="13.15" customHeight="1" x14ac:dyDescent="0.35">
      <c r="A106" s="50" t="s">
        <v>52</v>
      </c>
      <c r="B106" s="50" t="s">
        <v>348</v>
      </c>
      <c r="C106" s="50" t="s">
        <v>349</v>
      </c>
      <c r="D106" s="50" t="s">
        <v>344</v>
      </c>
      <c r="E106" s="50" t="s">
        <v>345</v>
      </c>
      <c r="F106" s="53">
        <v>10.373900000000001</v>
      </c>
    </row>
    <row r="107" spans="1:6" ht="13.15" customHeight="1" x14ac:dyDescent="0.35">
      <c r="A107" s="50" t="s">
        <v>16</v>
      </c>
      <c r="B107" s="50" t="s">
        <v>348</v>
      </c>
      <c r="C107" s="50" t="s">
        <v>349</v>
      </c>
      <c r="D107" s="50" t="s">
        <v>134</v>
      </c>
      <c r="E107" s="50" t="s">
        <v>346</v>
      </c>
      <c r="F107" s="53">
        <v>0.81469999999999998</v>
      </c>
    </row>
    <row r="108" spans="1:6" ht="13.15" customHeight="1" x14ac:dyDescent="0.35">
      <c r="A108" s="50" t="s">
        <v>56</v>
      </c>
      <c r="B108" s="50" t="s">
        <v>348</v>
      </c>
      <c r="C108" s="50" t="s">
        <v>349</v>
      </c>
      <c r="D108" s="50" t="s">
        <v>336</v>
      </c>
      <c r="E108" s="50" t="s">
        <v>337</v>
      </c>
      <c r="F108" s="53">
        <v>3.7982999999999998</v>
      </c>
    </row>
    <row r="109" spans="1:6" ht="13.15" customHeight="1" x14ac:dyDescent="0.35">
      <c r="A109" s="50" t="s">
        <v>64</v>
      </c>
      <c r="B109" s="50" t="s">
        <v>348</v>
      </c>
      <c r="C109" s="50" t="s">
        <v>349</v>
      </c>
      <c r="D109" s="50" t="s">
        <v>127</v>
      </c>
      <c r="E109" s="50" t="s">
        <v>347</v>
      </c>
      <c r="F109" s="53">
        <v>0.12939999999999999</v>
      </c>
    </row>
    <row r="110" spans="1:6" ht="13.15" customHeight="1" x14ac:dyDescent="0.35">
      <c r="A110" s="50" t="s">
        <v>11</v>
      </c>
      <c r="B110" s="50" t="s">
        <v>348</v>
      </c>
      <c r="C110" s="50" t="s">
        <v>349</v>
      </c>
      <c r="D110" s="50" t="s">
        <v>348</v>
      </c>
      <c r="E110" s="50" t="s">
        <v>349</v>
      </c>
      <c r="F110" s="53">
        <v>1</v>
      </c>
    </row>
  </sheetData>
  <mergeCells count="4">
    <mergeCell ref="H1:M1"/>
    <mergeCell ref="O1:T1"/>
    <mergeCell ref="H12:M12"/>
    <mergeCell ref="O12:T12"/>
  </mergeCells>
  <phoneticPr fontId="35" type="noConversion"/>
  <dataValidations count="1">
    <dataValidation type="list" allowBlank="1" showInputMessage="1" showErrorMessage="1" prompt="选择本币货币" sqref="I36:J36" xr:uid="{00000000-0002-0000-0500-000000000000}">
      <formula1>"AUD,BRL,CUP,EUR,GBP,JPY,RMB,RUB,USD,ZAR"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N255"/>
  <sheetViews>
    <sheetView workbookViewId="0">
      <pane ySplit="1" topLeftCell="A92" activePane="bottomLeft" state="frozen"/>
      <selection pane="bottomLeft" activeCell="C1" sqref="C1:H1048576"/>
    </sheetView>
  </sheetViews>
  <sheetFormatPr defaultColWidth="9.69140625" defaultRowHeight="13.15" customHeight="1" x14ac:dyDescent="0.35"/>
  <cols>
    <col min="1" max="1" width="12.15234375" style="84" customWidth="1"/>
    <col min="2" max="2" width="19.84375" style="34" customWidth="1"/>
    <col min="3" max="3" width="13.3046875" style="34" hidden="1" customWidth="1"/>
    <col min="4" max="4" width="10.84375" style="34" hidden="1" customWidth="1"/>
    <col min="5" max="5" width="11.15234375" style="34" hidden="1" customWidth="1"/>
    <col min="6" max="6" width="10.84375" style="35" hidden="1" customWidth="1"/>
    <col min="7" max="7" width="11.69140625" style="34" hidden="1" customWidth="1"/>
    <col min="8" max="8" width="13.84375" style="34" hidden="1" customWidth="1"/>
    <col min="9" max="9" width="13.15234375" style="34" customWidth="1"/>
    <col min="10" max="10" width="11.15234375" style="34" customWidth="1"/>
    <col min="11" max="11" width="10.84375" style="34" customWidth="1"/>
    <col min="12" max="12" width="11" style="34" customWidth="1"/>
    <col min="13" max="13" width="9" style="85"/>
    <col min="16" max="40" width="9" style="34"/>
  </cols>
  <sheetData>
    <row r="1" spans="1:15" ht="13.15" customHeight="1" x14ac:dyDescent="0.25">
      <c r="A1" s="86" t="s">
        <v>358</v>
      </c>
      <c r="B1" s="36" t="s">
        <v>228</v>
      </c>
      <c r="C1" s="50" t="s">
        <v>21</v>
      </c>
      <c r="D1" s="50" t="s">
        <v>74</v>
      </c>
      <c r="E1" s="50" t="s">
        <v>69</v>
      </c>
      <c r="F1" s="55" t="s">
        <v>38</v>
      </c>
      <c r="G1" s="50" t="s">
        <v>45</v>
      </c>
      <c r="H1" s="50" t="s">
        <v>52</v>
      </c>
      <c r="I1" s="50" t="s">
        <v>16</v>
      </c>
      <c r="J1" s="50" t="s">
        <v>56</v>
      </c>
      <c r="K1" s="50" t="s">
        <v>64</v>
      </c>
      <c r="L1" s="50" t="s">
        <v>11</v>
      </c>
      <c r="N1" s="70" t="s">
        <v>194</v>
      </c>
      <c r="O1" s="5" t="s">
        <v>323</v>
      </c>
    </row>
    <row r="2" spans="1:15" ht="13.15" customHeight="1" x14ac:dyDescent="0.25">
      <c r="A2" s="86" t="s">
        <v>359</v>
      </c>
      <c r="B2" s="36" t="s">
        <v>360</v>
      </c>
      <c r="C2" s="87">
        <v>13.22</v>
      </c>
      <c r="D2" s="88">
        <v>27.78</v>
      </c>
      <c r="E2" s="87">
        <v>19.71</v>
      </c>
      <c r="F2" s="37">
        <v>9.18</v>
      </c>
      <c r="G2" s="87">
        <v>8.74</v>
      </c>
      <c r="H2" s="87">
        <v>969.4</v>
      </c>
      <c r="I2" s="92">
        <v>101.56</v>
      </c>
      <c r="J2" s="87">
        <v>448</v>
      </c>
      <c r="K2" s="87">
        <v>14.78</v>
      </c>
      <c r="L2" s="87">
        <v>109.31</v>
      </c>
      <c r="N2" s="33">
        <v>1000</v>
      </c>
      <c r="O2" s="5" t="s">
        <v>361</v>
      </c>
    </row>
    <row r="3" spans="1:15" ht="13.15" customHeight="1" x14ac:dyDescent="0.25">
      <c r="A3" s="86" t="s">
        <v>362</v>
      </c>
      <c r="B3" s="36" t="s">
        <v>363</v>
      </c>
      <c r="C3" s="87">
        <v>33.6</v>
      </c>
      <c r="D3" s="88">
        <v>67.05</v>
      </c>
      <c r="E3" s="87">
        <v>33.71</v>
      </c>
      <c r="F3" s="37">
        <v>25.65</v>
      </c>
      <c r="G3" s="87">
        <v>28.32</v>
      </c>
      <c r="H3" s="87">
        <v>2798.88</v>
      </c>
      <c r="I3" s="92">
        <v>223.24</v>
      </c>
      <c r="J3" s="87">
        <v>1036</v>
      </c>
      <c r="K3" s="87">
        <v>34.159999999999997</v>
      </c>
      <c r="L3" s="87">
        <v>274.39999999999998</v>
      </c>
      <c r="N3" s="33">
        <v>10000</v>
      </c>
      <c r="O3" s="5" t="s">
        <v>364</v>
      </c>
    </row>
    <row r="4" spans="1:15" ht="13.15" customHeight="1" x14ac:dyDescent="0.25">
      <c r="A4" s="86" t="s">
        <v>365</v>
      </c>
      <c r="B4" s="36" t="s">
        <v>366</v>
      </c>
      <c r="C4" s="87">
        <v>8.9700000000000006</v>
      </c>
      <c r="D4" s="88">
        <v>14.54</v>
      </c>
      <c r="E4" s="87">
        <v>9.4600000000000009</v>
      </c>
      <c r="F4" s="37">
        <v>6.78</v>
      </c>
      <c r="G4" s="87">
        <v>8.4</v>
      </c>
      <c r="H4" s="87">
        <v>761.6</v>
      </c>
      <c r="I4" s="92">
        <v>59.35</v>
      </c>
      <c r="J4" s="87">
        <v>278.88</v>
      </c>
      <c r="K4" s="87">
        <v>9.74</v>
      </c>
      <c r="L4" s="87">
        <v>72.040000000000006</v>
      </c>
      <c r="N4" s="33">
        <v>25000</v>
      </c>
      <c r="O4" s="5" t="s">
        <v>364</v>
      </c>
    </row>
    <row r="5" spans="1:15" ht="13.15" customHeight="1" x14ac:dyDescent="0.25">
      <c r="A5" s="86" t="s">
        <v>367</v>
      </c>
      <c r="B5" s="36" t="s">
        <v>368</v>
      </c>
      <c r="C5" s="87">
        <v>5.77</v>
      </c>
      <c r="D5" s="88">
        <v>12.04</v>
      </c>
      <c r="E5" s="87">
        <v>7.06</v>
      </c>
      <c r="F5" s="37">
        <v>3.99</v>
      </c>
      <c r="G5" s="87">
        <v>4.05</v>
      </c>
      <c r="H5" s="87">
        <v>476</v>
      </c>
      <c r="I5" s="92">
        <v>112</v>
      </c>
      <c r="J5" s="87">
        <v>202.72</v>
      </c>
      <c r="K5" s="87">
        <v>6.83</v>
      </c>
      <c r="L5" s="87">
        <v>50.23</v>
      </c>
      <c r="N5" s="33">
        <v>35000</v>
      </c>
      <c r="O5" s="5" t="s">
        <v>369</v>
      </c>
    </row>
    <row r="6" spans="1:15" ht="13.15" customHeight="1" x14ac:dyDescent="0.25">
      <c r="A6" s="86" t="s">
        <v>370</v>
      </c>
      <c r="B6" s="36" t="s">
        <v>371</v>
      </c>
      <c r="C6" s="87">
        <v>13.13</v>
      </c>
      <c r="D6" s="88">
        <v>24.08</v>
      </c>
      <c r="E6" s="87">
        <v>13.43</v>
      </c>
      <c r="F6" s="37">
        <v>9.15</v>
      </c>
      <c r="G6" s="87">
        <v>6.94</v>
      </c>
      <c r="H6" s="87">
        <v>1140.72</v>
      </c>
      <c r="I6" s="92">
        <v>90.85</v>
      </c>
      <c r="J6" s="87">
        <v>337.68</v>
      </c>
      <c r="K6" s="87">
        <v>12.1</v>
      </c>
      <c r="L6" s="87">
        <v>106.81</v>
      </c>
      <c r="N6" s="33">
        <v>15000</v>
      </c>
      <c r="O6" s="5" t="s">
        <v>361</v>
      </c>
    </row>
    <row r="7" spans="1:15" ht="13.15" customHeight="1" x14ac:dyDescent="0.25">
      <c r="A7" s="86" t="s">
        <v>372</v>
      </c>
      <c r="B7" s="36" t="s">
        <v>373</v>
      </c>
      <c r="C7" s="87">
        <v>15.88</v>
      </c>
      <c r="D7" s="88">
        <v>37.32</v>
      </c>
      <c r="E7" s="87">
        <v>12.21</v>
      </c>
      <c r="F7" s="37">
        <v>9.35</v>
      </c>
      <c r="G7" s="87">
        <v>7.62</v>
      </c>
      <c r="H7" s="87">
        <v>1036.26</v>
      </c>
      <c r="I7" s="92">
        <v>114.24</v>
      </c>
      <c r="J7" s="87">
        <v>369.86</v>
      </c>
      <c r="K7" s="87">
        <v>12.88</v>
      </c>
      <c r="L7" s="87">
        <v>91.35</v>
      </c>
      <c r="N7" s="33">
        <v>10000</v>
      </c>
      <c r="O7" s="5" t="s">
        <v>361</v>
      </c>
    </row>
    <row r="8" spans="1:15" ht="13.15" customHeight="1" x14ac:dyDescent="0.25">
      <c r="A8" s="86" t="s">
        <v>374</v>
      </c>
      <c r="B8" s="36" t="s">
        <v>375</v>
      </c>
      <c r="C8" s="87">
        <v>10.09</v>
      </c>
      <c r="D8" s="88">
        <v>17.190000000000001</v>
      </c>
      <c r="E8" s="87">
        <v>8.09</v>
      </c>
      <c r="F8" s="37">
        <v>6.73</v>
      </c>
      <c r="G8" s="87">
        <v>5.61</v>
      </c>
      <c r="H8" s="87">
        <v>785.12</v>
      </c>
      <c r="I8" s="92">
        <v>65.09</v>
      </c>
      <c r="J8" s="87">
        <v>260.95999999999998</v>
      </c>
      <c r="K8" s="87">
        <v>10.09</v>
      </c>
      <c r="L8" s="87">
        <v>78.72</v>
      </c>
      <c r="N8" s="33">
        <v>20000</v>
      </c>
      <c r="O8" s="5" t="s">
        <v>361</v>
      </c>
    </row>
    <row r="9" spans="1:15" ht="13.15" customHeight="1" x14ac:dyDescent="0.25">
      <c r="A9" s="86" t="s">
        <v>376</v>
      </c>
      <c r="B9" s="36" t="s">
        <v>377</v>
      </c>
      <c r="C9" s="87">
        <v>9.44</v>
      </c>
      <c r="D9" s="88">
        <v>19.600000000000001</v>
      </c>
      <c r="E9" s="87">
        <v>9.56</v>
      </c>
      <c r="F9" s="37">
        <v>6.73</v>
      </c>
      <c r="G9" s="87">
        <v>5.61</v>
      </c>
      <c r="H9" s="87">
        <v>897.14</v>
      </c>
      <c r="I9" s="92">
        <v>61.87</v>
      </c>
      <c r="J9" s="87">
        <v>274.48</v>
      </c>
      <c r="K9" s="87">
        <v>10.06</v>
      </c>
      <c r="L9" s="87">
        <v>56.56</v>
      </c>
      <c r="N9" s="33">
        <v>20000</v>
      </c>
      <c r="O9" s="5" t="s">
        <v>361</v>
      </c>
    </row>
    <row r="10" spans="1:15" ht="13.15" customHeight="1" x14ac:dyDescent="0.25">
      <c r="A10" s="86" t="s">
        <v>378</v>
      </c>
      <c r="B10" s="36" t="s">
        <v>379</v>
      </c>
      <c r="C10" s="87">
        <v>19.600000000000001</v>
      </c>
      <c r="D10" s="88">
        <v>36.369999999999997</v>
      </c>
      <c r="E10" s="87">
        <v>18.7</v>
      </c>
      <c r="F10" s="37">
        <v>16.34</v>
      </c>
      <c r="G10" s="87">
        <v>11.76</v>
      </c>
      <c r="H10" s="87">
        <v>1510.03</v>
      </c>
      <c r="I10" s="92">
        <v>128.80000000000001</v>
      </c>
      <c r="J10" s="87">
        <v>553.9</v>
      </c>
      <c r="K10" s="87">
        <v>18.97</v>
      </c>
      <c r="L10" s="87">
        <v>148.6</v>
      </c>
      <c r="N10" s="33">
        <v>15000</v>
      </c>
      <c r="O10" s="5" t="s">
        <v>380</v>
      </c>
    </row>
    <row r="11" spans="1:15" ht="13.15" customHeight="1" x14ac:dyDescent="0.25">
      <c r="A11" s="86" t="s">
        <v>381</v>
      </c>
      <c r="B11" s="36" t="s">
        <v>382</v>
      </c>
      <c r="C11" s="87">
        <v>48.61</v>
      </c>
      <c r="D11" s="88">
        <v>85.68</v>
      </c>
      <c r="E11" s="87">
        <v>46.16</v>
      </c>
      <c r="F11" s="37">
        <v>34.97</v>
      </c>
      <c r="G11" s="87">
        <v>27.78</v>
      </c>
      <c r="H11" s="87">
        <v>3661.92</v>
      </c>
      <c r="I11" s="92">
        <v>319.76</v>
      </c>
      <c r="J11" s="87">
        <v>1350.07</v>
      </c>
      <c r="K11" s="87">
        <v>45.14</v>
      </c>
      <c r="L11" s="87">
        <v>350.56</v>
      </c>
      <c r="N11" s="33">
        <v>10000</v>
      </c>
      <c r="O11" s="5" t="s">
        <v>380</v>
      </c>
    </row>
    <row r="12" spans="1:15" ht="13.15" customHeight="1" x14ac:dyDescent="0.25">
      <c r="A12" s="86" t="s">
        <v>383</v>
      </c>
      <c r="B12" s="36" t="s">
        <v>384</v>
      </c>
      <c r="C12" s="87">
        <v>125.44</v>
      </c>
      <c r="D12" s="88">
        <v>220.64</v>
      </c>
      <c r="E12" s="87">
        <v>125.44</v>
      </c>
      <c r="F12" s="37">
        <v>90.71</v>
      </c>
      <c r="G12" s="87">
        <v>81.78</v>
      </c>
      <c r="H12" s="87">
        <v>11088.06</v>
      </c>
      <c r="I12" s="92">
        <v>897.23</v>
      </c>
      <c r="J12" s="87">
        <v>3988.54</v>
      </c>
      <c r="K12" s="87">
        <v>123.93</v>
      </c>
      <c r="L12" s="87">
        <v>1044.19</v>
      </c>
      <c r="N12" s="33">
        <v>15000</v>
      </c>
      <c r="O12" s="5" t="s">
        <v>361</v>
      </c>
    </row>
    <row r="13" spans="1:15" ht="13.15" customHeight="1" x14ac:dyDescent="0.25">
      <c r="A13" s="86" t="s">
        <v>385</v>
      </c>
      <c r="B13" s="36" t="s">
        <v>386</v>
      </c>
      <c r="C13" s="87">
        <v>36.4</v>
      </c>
      <c r="D13" s="88">
        <v>53.77</v>
      </c>
      <c r="E13" s="87">
        <v>33.71</v>
      </c>
      <c r="F13" s="37">
        <v>16.8</v>
      </c>
      <c r="G13" s="87">
        <v>19.64</v>
      </c>
      <c r="H13" s="87">
        <v>2688</v>
      </c>
      <c r="I13" s="92">
        <v>246.41</v>
      </c>
      <c r="J13" s="87">
        <v>940.8</v>
      </c>
      <c r="K13" s="87">
        <v>31.36</v>
      </c>
      <c r="L13" s="87">
        <v>247.27</v>
      </c>
      <c r="N13" s="33">
        <v>2000</v>
      </c>
      <c r="O13" s="5" t="s">
        <v>361</v>
      </c>
    </row>
    <row r="14" spans="1:15" ht="13.15" customHeight="1" x14ac:dyDescent="0.25">
      <c r="A14" s="86" t="s">
        <v>387</v>
      </c>
      <c r="B14" s="36" t="s">
        <v>388</v>
      </c>
      <c r="C14" s="87">
        <v>2318.4</v>
      </c>
      <c r="D14" s="88">
        <v>4480</v>
      </c>
      <c r="E14" s="87">
        <v>4086.04</v>
      </c>
      <c r="F14" s="37">
        <v>1624</v>
      </c>
      <c r="G14" s="87">
        <v>1596</v>
      </c>
      <c r="H14" s="87">
        <v>191632</v>
      </c>
      <c r="I14" s="92">
        <v>17696</v>
      </c>
      <c r="J14" s="87">
        <v>71680</v>
      </c>
      <c r="K14" s="87">
        <v>2744</v>
      </c>
      <c r="L14" s="87">
        <v>18032</v>
      </c>
      <c r="N14" s="33">
        <v>100</v>
      </c>
      <c r="O14" s="5" t="s">
        <v>389</v>
      </c>
    </row>
    <row r="15" spans="1:15" ht="13.15" customHeight="1" x14ac:dyDescent="0.25">
      <c r="A15" s="86" t="s">
        <v>390</v>
      </c>
      <c r="B15" s="36" t="s">
        <v>391</v>
      </c>
      <c r="C15" s="87">
        <v>76.400000000000006</v>
      </c>
      <c r="D15" s="88">
        <v>136.63999999999999</v>
      </c>
      <c r="E15" s="87">
        <v>78.64</v>
      </c>
      <c r="F15" s="37">
        <v>56.24</v>
      </c>
      <c r="G15" s="87">
        <v>45.83</v>
      </c>
      <c r="H15" s="87">
        <v>6720.13</v>
      </c>
      <c r="I15" s="92">
        <v>504</v>
      </c>
      <c r="J15" s="87">
        <v>2240.13</v>
      </c>
      <c r="K15" s="87">
        <v>84.24</v>
      </c>
      <c r="L15" s="87">
        <v>853.44</v>
      </c>
      <c r="N15" s="33">
        <v>2500</v>
      </c>
      <c r="O15" s="5" t="s">
        <v>361</v>
      </c>
    </row>
    <row r="16" spans="1:15" ht="13.15" customHeight="1" x14ac:dyDescent="0.25">
      <c r="A16" s="86" t="s">
        <v>392</v>
      </c>
      <c r="B16" s="36" t="s">
        <v>393</v>
      </c>
      <c r="C16" s="87">
        <v>89.73</v>
      </c>
      <c r="D16" s="88">
        <v>157.91999999999999</v>
      </c>
      <c r="E16" s="87">
        <v>89.84</v>
      </c>
      <c r="F16" s="37">
        <v>67.44</v>
      </c>
      <c r="G16" s="87">
        <v>56.24</v>
      </c>
      <c r="H16" s="87">
        <v>7504</v>
      </c>
      <c r="I16" s="92">
        <v>565.6</v>
      </c>
      <c r="J16" s="87">
        <v>2800</v>
      </c>
      <c r="K16" s="87">
        <v>94.64</v>
      </c>
      <c r="L16" s="87">
        <v>952</v>
      </c>
      <c r="N16" s="33">
        <v>2500</v>
      </c>
      <c r="O16" s="5" t="s">
        <v>361</v>
      </c>
    </row>
    <row r="17" spans="1:15" ht="13.15" customHeight="1" x14ac:dyDescent="0.25">
      <c r="A17" s="86" t="s">
        <v>394</v>
      </c>
      <c r="B17" s="36" t="s">
        <v>395</v>
      </c>
      <c r="C17" s="87">
        <v>17.02</v>
      </c>
      <c r="D17" s="88">
        <v>28.56</v>
      </c>
      <c r="E17" s="87">
        <v>20.16</v>
      </c>
      <c r="F17" s="37">
        <v>11.33</v>
      </c>
      <c r="G17" s="87">
        <v>11.54</v>
      </c>
      <c r="H17" s="87">
        <v>1344</v>
      </c>
      <c r="I17" s="92">
        <v>118.72</v>
      </c>
      <c r="J17" s="87">
        <v>502.36</v>
      </c>
      <c r="K17" s="87">
        <v>17.600000000000001</v>
      </c>
      <c r="L17" s="87">
        <v>115.36</v>
      </c>
      <c r="N17" s="33">
        <v>10000</v>
      </c>
      <c r="O17" s="5" t="s">
        <v>369</v>
      </c>
    </row>
    <row r="18" spans="1:15" ht="13.15" customHeight="1" x14ac:dyDescent="0.25">
      <c r="A18" s="86" t="s">
        <v>396</v>
      </c>
      <c r="B18" s="36" t="s">
        <v>397</v>
      </c>
      <c r="C18" s="87">
        <v>406.99</v>
      </c>
      <c r="D18" s="88">
        <v>784.07</v>
      </c>
      <c r="E18" s="87">
        <v>421.04</v>
      </c>
      <c r="F18" s="37">
        <v>318.43</v>
      </c>
      <c r="G18" s="87">
        <v>275.25</v>
      </c>
      <c r="H18" s="87">
        <v>33762.769999999997</v>
      </c>
      <c r="I18" s="92">
        <v>2651.39</v>
      </c>
      <c r="J18" s="87">
        <v>12361.83</v>
      </c>
      <c r="K18" s="87">
        <v>421.04</v>
      </c>
      <c r="L18" s="87">
        <v>3478.57</v>
      </c>
      <c r="N18" s="33">
        <v>700</v>
      </c>
      <c r="O18" s="5" t="s">
        <v>361</v>
      </c>
    </row>
    <row r="19" spans="1:15" ht="13.15" customHeight="1" x14ac:dyDescent="0.25">
      <c r="A19" s="86" t="s">
        <v>398</v>
      </c>
      <c r="B19" s="36" t="s">
        <v>399</v>
      </c>
      <c r="C19" s="87">
        <v>4.58</v>
      </c>
      <c r="D19" s="88">
        <v>9.6999999999999993</v>
      </c>
      <c r="E19" s="87">
        <v>5.13</v>
      </c>
      <c r="F19" s="37">
        <v>3.84</v>
      </c>
      <c r="G19" s="87">
        <v>3.25</v>
      </c>
      <c r="H19" s="87">
        <v>414.4</v>
      </c>
      <c r="I19" s="92">
        <v>32.18</v>
      </c>
      <c r="J19" s="87">
        <v>149.86000000000001</v>
      </c>
      <c r="K19" s="87">
        <v>5.0999999999999996</v>
      </c>
      <c r="L19" s="87">
        <v>39.46</v>
      </c>
      <c r="N19" s="33">
        <v>50000</v>
      </c>
      <c r="O19" s="5" t="s">
        <v>369</v>
      </c>
    </row>
    <row r="20" spans="1:15" ht="13.15" customHeight="1" x14ac:dyDescent="0.25">
      <c r="A20" s="86" t="s">
        <v>400</v>
      </c>
      <c r="B20" s="36" t="s">
        <v>401</v>
      </c>
      <c r="C20" s="87">
        <v>6.83</v>
      </c>
      <c r="D20" s="88">
        <v>11.31</v>
      </c>
      <c r="E20" s="87">
        <v>6.83</v>
      </c>
      <c r="F20" s="37">
        <v>4.49</v>
      </c>
      <c r="G20" s="87">
        <v>3.36</v>
      </c>
      <c r="H20" s="87">
        <v>569.52</v>
      </c>
      <c r="I20" s="92">
        <v>44.09</v>
      </c>
      <c r="J20" s="87">
        <v>190.4</v>
      </c>
      <c r="K20" s="87">
        <v>6.94</v>
      </c>
      <c r="L20" s="87">
        <v>53.24</v>
      </c>
      <c r="N20" s="33">
        <v>50000</v>
      </c>
      <c r="O20" s="5" t="s">
        <v>402</v>
      </c>
    </row>
    <row r="21" spans="1:15" ht="13.15" customHeight="1" x14ac:dyDescent="0.25">
      <c r="A21" s="86" t="s">
        <v>403</v>
      </c>
      <c r="B21" s="36" t="s">
        <v>404</v>
      </c>
      <c r="C21" s="87">
        <v>2.7</v>
      </c>
      <c r="D21" s="88">
        <v>4.59</v>
      </c>
      <c r="E21" s="87">
        <v>2.82</v>
      </c>
      <c r="F21" s="37">
        <v>1.98</v>
      </c>
      <c r="G21" s="87">
        <v>2.02</v>
      </c>
      <c r="H21" s="87">
        <v>229.6</v>
      </c>
      <c r="I21" s="92">
        <v>18.7</v>
      </c>
      <c r="J21" s="87">
        <v>87.61</v>
      </c>
      <c r="K21" s="87">
        <v>2.8</v>
      </c>
      <c r="L21" s="87">
        <v>21.29</v>
      </c>
      <c r="N21" s="33">
        <v>50000</v>
      </c>
      <c r="O21" s="5" t="s">
        <v>369</v>
      </c>
    </row>
    <row r="22" spans="1:15" ht="13.15" customHeight="1" x14ac:dyDescent="0.25">
      <c r="A22" s="86" t="s">
        <v>405</v>
      </c>
      <c r="B22" s="36" t="s">
        <v>406</v>
      </c>
      <c r="C22" s="87">
        <v>49.58</v>
      </c>
      <c r="D22" s="88">
        <v>90.16</v>
      </c>
      <c r="E22" s="87">
        <v>47.57</v>
      </c>
      <c r="F22" s="37">
        <v>42.58</v>
      </c>
      <c r="G22" s="87">
        <v>29.46</v>
      </c>
      <c r="H22" s="87">
        <v>3944.53</v>
      </c>
      <c r="I22" s="92">
        <v>305.38</v>
      </c>
      <c r="J22" s="87">
        <v>1394.96</v>
      </c>
      <c r="K22" s="87">
        <v>49.85</v>
      </c>
      <c r="L22" s="87">
        <v>381.91</v>
      </c>
      <c r="N22" s="33">
        <v>8000</v>
      </c>
      <c r="O22" s="5" t="s">
        <v>361</v>
      </c>
    </row>
    <row r="23" spans="1:15" ht="13.15" customHeight="1" x14ac:dyDescent="0.25">
      <c r="A23" s="86" t="s">
        <v>407</v>
      </c>
      <c r="B23" s="36" t="s">
        <v>408</v>
      </c>
      <c r="C23" s="87">
        <v>6.44</v>
      </c>
      <c r="D23" s="88">
        <v>11.42</v>
      </c>
      <c r="E23" s="87">
        <v>6.94</v>
      </c>
      <c r="F23" s="37">
        <v>4.4800000000000004</v>
      </c>
      <c r="G23" s="87">
        <v>4.29</v>
      </c>
      <c r="H23" s="87">
        <v>588</v>
      </c>
      <c r="I23" s="92">
        <v>50.74</v>
      </c>
      <c r="J23" s="87">
        <v>183.68</v>
      </c>
      <c r="K23" s="87">
        <v>7.28</v>
      </c>
      <c r="L23" s="87">
        <v>51.74</v>
      </c>
      <c r="N23" s="33">
        <v>40000</v>
      </c>
      <c r="O23" s="5" t="s">
        <v>409</v>
      </c>
    </row>
    <row r="24" spans="1:15" ht="13.15" customHeight="1" x14ac:dyDescent="0.25">
      <c r="A24" s="86" t="s">
        <v>410</v>
      </c>
      <c r="B24" s="36" t="s">
        <v>411</v>
      </c>
      <c r="C24" s="87">
        <v>5.66</v>
      </c>
      <c r="D24" s="88">
        <v>9.86</v>
      </c>
      <c r="E24" s="87">
        <v>5.59</v>
      </c>
      <c r="F24" s="37">
        <v>3.52</v>
      </c>
      <c r="G24" s="87">
        <v>3.07</v>
      </c>
      <c r="H24" s="87">
        <v>486</v>
      </c>
      <c r="I24" s="92">
        <v>24.86</v>
      </c>
      <c r="J24" s="87">
        <v>134.63999999999999</v>
      </c>
      <c r="K24" s="87">
        <v>5.6</v>
      </c>
      <c r="L24" s="87">
        <v>36.869999999999997</v>
      </c>
      <c r="N24" s="33">
        <v>40000</v>
      </c>
      <c r="O24" s="5" t="s">
        <v>412</v>
      </c>
    </row>
    <row r="25" spans="1:15" ht="13.15" customHeight="1" x14ac:dyDescent="0.25">
      <c r="A25" s="86" t="s">
        <v>413</v>
      </c>
      <c r="B25" s="36" t="s">
        <v>414</v>
      </c>
      <c r="C25" s="87">
        <v>5.68</v>
      </c>
      <c r="D25" s="88">
        <v>10.14</v>
      </c>
      <c r="E25" s="87">
        <v>5.95</v>
      </c>
      <c r="F25" s="37">
        <v>3.85</v>
      </c>
      <c r="G25" s="87">
        <v>3.48</v>
      </c>
      <c r="H25" s="87">
        <v>414.46</v>
      </c>
      <c r="I25" s="92">
        <v>30.54</v>
      </c>
      <c r="J25" s="87">
        <v>141.43</v>
      </c>
      <c r="K25" s="87">
        <v>4.88</v>
      </c>
      <c r="L25" s="87">
        <v>43.21</v>
      </c>
      <c r="N25" s="33">
        <v>50000</v>
      </c>
      <c r="O25" s="5" t="s">
        <v>412</v>
      </c>
    </row>
    <row r="26" spans="1:15" ht="13.15" customHeight="1" x14ac:dyDescent="0.25">
      <c r="A26" s="86" t="s">
        <v>415</v>
      </c>
      <c r="B26" s="36" t="s">
        <v>416</v>
      </c>
      <c r="C26" s="87">
        <v>5.68</v>
      </c>
      <c r="D26" s="88">
        <v>21.39</v>
      </c>
      <c r="E26" s="87">
        <v>11.65</v>
      </c>
      <c r="F26" s="37">
        <v>8.9700000000000006</v>
      </c>
      <c r="G26" s="87">
        <v>6.73</v>
      </c>
      <c r="H26" s="87">
        <v>908.04</v>
      </c>
      <c r="I26" s="92">
        <v>75.06</v>
      </c>
      <c r="J26" s="87">
        <v>355.29</v>
      </c>
      <c r="K26" s="87">
        <v>11.65</v>
      </c>
      <c r="L26" s="87">
        <v>89.73</v>
      </c>
      <c r="N26" s="33">
        <v>20000</v>
      </c>
      <c r="O26" s="5" t="s">
        <v>412</v>
      </c>
    </row>
    <row r="27" spans="1:15" ht="13.15" customHeight="1" x14ac:dyDescent="0.25">
      <c r="A27" s="86" t="s">
        <v>417</v>
      </c>
      <c r="B27" s="36" t="s">
        <v>418</v>
      </c>
      <c r="C27" s="87">
        <v>6.6</v>
      </c>
      <c r="D27" s="88">
        <v>12.38</v>
      </c>
      <c r="E27" s="87">
        <v>8.9700000000000006</v>
      </c>
      <c r="F27" s="37">
        <v>4.83</v>
      </c>
      <c r="G27" s="87">
        <v>5.63</v>
      </c>
      <c r="H27" s="87">
        <v>717.82</v>
      </c>
      <c r="I27" s="92">
        <v>54.89</v>
      </c>
      <c r="J27" s="87">
        <v>252.38</v>
      </c>
      <c r="K27" s="87">
        <v>6.73</v>
      </c>
      <c r="L27" s="87">
        <v>56.09</v>
      </c>
      <c r="N27" s="33">
        <v>25000</v>
      </c>
      <c r="O27" s="5" t="s">
        <v>412</v>
      </c>
    </row>
    <row r="28" spans="1:15" ht="13.15" customHeight="1" x14ac:dyDescent="0.25">
      <c r="A28" s="86" t="s">
        <v>419</v>
      </c>
      <c r="B28" s="36" t="s">
        <v>420</v>
      </c>
      <c r="C28" s="87">
        <v>89.84</v>
      </c>
      <c r="D28" s="88">
        <v>25.54</v>
      </c>
      <c r="E28" s="87">
        <v>13.45</v>
      </c>
      <c r="F28" s="37">
        <v>10.07</v>
      </c>
      <c r="G28" s="87">
        <v>8.32</v>
      </c>
      <c r="H28" s="87">
        <v>1065.0999999999999</v>
      </c>
      <c r="I28" s="92">
        <v>83.33</v>
      </c>
      <c r="J28" s="87">
        <v>383.15</v>
      </c>
      <c r="K28" s="87">
        <v>14.27</v>
      </c>
      <c r="L28" s="87">
        <v>100.81</v>
      </c>
      <c r="N28" s="33">
        <v>15000</v>
      </c>
      <c r="O28" s="5" t="s">
        <v>412</v>
      </c>
    </row>
    <row r="29" spans="1:15" ht="13.15" customHeight="1" x14ac:dyDescent="0.25">
      <c r="A29" s="86" t="s">
        <v>421</v>
      </c>
      <c r="B29" s="36" t="s">
        <v>422</v>
      </c>
      <c r="C29" s="87">
        <v>34.72</v>
      </c>
      <c r="D29" s="88">
        <v>114.68</v>
      </c>
      <c r="E29" s="87">
        <v>38.08</v>
      </c>
      <c r="F29" s="37">
        <v>26.32</v>
      </c>
      <c r="G29" s="87">
        <v>22.96</v>
      </c>
      <c r="H29" s="87">
        <v>3011.68</v>
      </c>
      <c r="I29" s="92">
        <v>247.04</v>
      </c>
      <c r="J29" s="87">
        <v>1120</v>
      </c>
      <c r="K29" s="87">
        <v>34.72</v>
      </c>
      <c r="L29" s="87">
        <v>269.77</v>
      </c>
      <c r="N29" s="33">
        <v>5000</v>
      </c>
      <c r="O29" s="5" t="s">
        <v>412</v>
      </c>
    </row>
    <row r="30" spans="1:15" ht="13.15" customHeight="1" x14ac:dyDescent="0.25">
      <c r="A30" s="86" t="s">
        <v>423</v>
      </c>
      <c r="B30" s="36" t="s">
        <v>424</v>
      </c>
      <c r="C30" s="87">
        <v>11.18</v>
      </c>
      <c r="D30" s="88">
        <v>38.25</v>
      </c>
      <c r="E30" s="87">
        <v>11.76</v>
      </c>
      <c r="F30" s="37">
        <v>7.85</v>
      </c>
      <c r="G30" s="87">
        <v>7.18</v>
      </c>
      <c r="H30" s="87">
        <v>940.8</v>
      </c>
      <c r="I30" s="92">
        <v>73.16</v>
      </c>
      <c r="J30" s="87">
        <v>336</v>
      </c>
      <c r="K30" s="87">
        <v>11.31</v>
      </c>
      <c r="L30" s="87">
        <v>78.64</v>
      </c>
      <c r="N30" s="33">
        <v>15000</v>
      </c>
      <c r="O30" s="5" t="s">
        <v>412</v>
      </c>
    </row>
    <row r="31" spans="1:15" ht="13.15" customHeight="1" x14ac:dyDescent="0.25">
      <c r="A31" s="86" t="s">
        <v>425</v>
      </c>
      <c r="B31" s="36" t="s">
        <v>426</v>
      </c>
      <c r="C31" s="87">
        <v>24.86</v>
      </c>
      <c r="D31" s="88">
        <v>45.4</v>
      </c>
      <c r="E31" s="87">
        <v>27.27</v>
      </c>
      <c r="F31" s="37">
        <v>19.77</v>
      </c>
      <c r="G31" s="87">
        <v>16.8</v>
      </c>
      <c r="H31" s="87">
        <v>2228.8000000000002</v>
      </c>
      <c r="I31" s="92">
        <v>178.08</v>
      </c>
      <c r="J31" s="87">
        <v>798.56</v>
      </c>
      <c r="K31" s="87">
        <v>29.13</v>
      </c>
      <c r="L31" s="87">
        <v>203.28</v>
      </c>
      <c r="N31" s="33">
        <v>5000</v>
      </c>
      <c r="O31" s="5" t="s">
        <v>412</v>
      </c>
    </row>
    <row r="32" spans="1:15" ht="13.15" customHeight="1" x14ac:dyDescent="0.25">
      <c r="A32" s="86" t="s">
        <v>427</v>
      </c>
      <c r="B32" s="36" t="s">
        <v>428</v>
      </c>
      <c r="C32" s="87">
        <v>16.79</v>
      </c>
      <c r="D32" s="88">
        <v>32.47</v>
      </c>
      <c r="E32" s="87">
        <v>17.02</v>
      </c>
      <c r="F32" s="37">
        <v>12.67</v>
      </c>
      <c r="G32" s="87">
        <v>10.75</v>
      </c>
      <c r="H32" s="87">
        <v>1120</v>
      </c>
      <c r="I32" s="92">
        <v>106.41</v>
      </c>
      <c r="J32" s="87">
        <v>526.52</v>
      </c>
      <c r="K32" s="87">
        <v>16.79</v>
      </c>
      <c r="L32" s="87">
        <v>136.62</v>
      </c>
      <c r="N32" s="33">
        <v>4000</v>
      </c>
      <c r="O32" s="5" t="s">
        <v>409</v>
      </c>
    </row>
    <row r="33" spans="1:15" ht="13.15" customHeight="1" x14ac:dyDescent="0.25">
      <c r="A33" s="86" t="s">
        <v>429</v>
      </c>
      <c r="B33" s="36" t="s">
        <v>430</v>
      </c>
      <c r="C33" s="87">
        <v>22.64</v>
      </c>
      <c r="D33" s="88">
        <v>45.04</v>
      </c>
      <c r="E33" s="87">
        <v>22.64</v>
      </c>
      <c r="F33" s="37">
        <v>19.600000000000001</v>
      </c>
      <c r="G33" s="87">
        <v>16.239999999999998</v>
      </c>
      <c r="H33" s="87">
        <v>1960</v>
      </c>
      <c r="I33" s="92">
        <v>160.16</v>
      </c>
      <c r="J33" s="87">
        <v>784</v>
      </c>
      <c r="K33" s="87">
        <v>20.16</v>
      </c>
      <c r="L33" s="87">
        <v>191.52</v>
      </c>
      <c r="N33" s="33">
        <v>20000</v>
      </c>
      <c r="O33" s="5" t="s">
        <v>412</v>
      </c>
    </row>
    <row r="34" spans="1:15" ht="13.15" customHeight="1" x14ac:dyDescent="0.25">
      <c r="A34" s="86" t="s">
        <v>431</v>
      </c>
      <c r="B34" s="36" t="s">
        <v>432</v>
      </c>
      <c r="C34" s="87">
        <v>5.82</v>
      </c>
      <c r="D34" s="88">
        <v>10.99</v>
      </c>
      <c r="E34" s="87">
        <v>5.77</v>
      </c>
      <c r="F34" s="37">
        <v>4.51</v>
      </c>
      <c r="G34" s="87">
        <v>3.53</v>
      </c>
      <c r="H34" s="87">
        <v>529.54</v>
      </c>
      <c r="I34" s="92">
        <v>37.61</v>
      </c>
      <c r="J34" s="87">
        <v>168.11</v>
      </c>
      <c r="K34" s="87">
        <v>5.84</v>
      </c>
      <c r="L34" s="87">
        <v>44.24</v>
      </c>
      <c r="N34" s="33">
        <v>40000</v>
      </c>
      <c r="O34" s="5" t="s">
        <v>412</v>
      </c>
    </row>
    <row r="35" spans="1:15" ht="13.15" customHeight="1" x14ac:dyDescent="0.25">
      <c r="A35" s="86" t="s">
        <v>433</v>
      </c>
      <c r="B35" s="36" t="s">
        <v>434</v>
      </c>
      <c r="C35" s="87">
        <v>16.79</v>
      </c>
      <c r="D35" s="88">
        <v>30.8</v>
      </c>
      <c r="E35" s="87">
        <v>20.149999999999999</v>
      </c>
      <c r="F35" s="37">
        <v>11.65</v>
      </c>
      <c r="G35" s="87">
        <v>11.31</v>
      </c>
      <c r="H35" s="87">
        <v>3256.14</v>
      </c>
      <c r="I35" s="92">
        <v>114.24</v>
      </c>
      <c r="J35" s="87">
        <v>538.94000000000005</v>
      </c>
      <c r="K35" s="87">
        <v>18.59</v>
      </c>
      <c r="L35" s="87">
        <v>135.52000000000001</v>
      </c>
      <c r="N35" s="33">
        <v>10000</v>
      </c>
      <c r="O35" s="5" t="s">
        <v>409</v>
      </c>
    </row>
    <row r="36" spans="1:15" ht="13.15" customHeight="1" x14ac:dyDescent="0.25">
      <c r="A36" s="86" t="s">
        <v>435</v>
      </c>
      <c r="B36" s="36" t="s">
        <v>436</v>
      </c>
      <c r="C36" s="87">
        <v>16.809999999999999</v>
      </c>
      <c r="D36" s="88">
        <v>32.590000000000003</v>
      </c>
      <c r="E36" s="87">
        <v>16.79</v>
      </c>
      <c r="F36" s="37">
        <v>12.45</v>
      </c>
      <c r="G36" s="87">
        <v>10.35</v>
      </c>
      <c r="H36" s="87">
        <v>1355.2</v>
      </c>
      <c r="I36" s="92">
        <v>110.32</v>
      </c>
      <c r="J36" s="87">
        <v>504</v>
      </c>
      <c r="K36" s="87">
        <v>19.05</v>
      </c>
      <c r="L36" s="87">
        <v>213.7</v>
      </c>
      <c r="N36" s="33">
        <v>10000</v>
      </c>
      <c r="O36" s="5" t="s">
        <v>412</v>
      </c>
    </row>
    <row r="37" spans="1:15" ht="13.15" customHeight="1" x14ac:dyDescent="0.25">
      <c r="A37" s="86" t="s">
        <v>437</v>
      </c>
      <c r="B37" s="36" t="s">
        <v>438</v>
      </c>
      <c r="C37" s="87">
        <v>28.36</v>
      </c>
      <c r="D37" s="88">
        <v>58.48</v>
      </c>
      <c r="E37" s="87">
        <v>32.49</v>
      </c>
      <c r="F37" s="37">
        <v>23.52</v>
      </c>
      <c r="G37" s="87">
        <v>19.38</v>
      </c>
      <c r="H37" s="87">
        <v>2374.4</v>
      </c>
      <c r="I37" s="92">
        <v>190.4</v>
      </c>
      <c r="J37" s="87">
        <v>873.73</v>
      </c>
      <c r="K37" s="87">
        <v>30.03</v>
      </c>
      <c r="L37" s="87">
        <v>358.4</v>
      </c>
      <c r="N37" s="33">
        <v>10000</v>
      </c>
      <c r="O37" s="5" t="s">
        <v>412</v>
      </c>
    </row>
    <row r="38" spans="1:15" ht="13.15" customHeight="1" x14ac:dyDescent="0.25">
      <c r="A38" s="86" t="s">
        <v>439</v>
      </c>
      <c r="B38" s="36" t="s">
        <v>440</v>
      </c>
      <c r="C38" s="87">
        <v>26.99</v>
      </c>
      <c r="D38" s="88">
        <v>54.12</v>
      </c>
      <c r="E38" s="87">
        <v>28.11</v>
      </c>
      <c r="F38" s="37">
        <v>20.5</v>
      </c>
      <c r="G38" s="87">
        <v>17.36</v>
      </c>
      <c r="H38" s="87">
        <v>2553.6</v>
      </c>
      <c r="I38" s="92">
        <v>179.33</v>
      </c>
      <c r="J38" s="87">
        <v>856.8</v>
      </c>
      <c r="K38" s="87">
        <v>29.13</v>
      </c>
      <c r="L38" s="87">
        <v>320.20999999999998</v>
      </c>
      <c r="N38" s="33">
        <v>10000</v>
      </c>
      <c r="O38" s="5" t="s">
        <v>412</v>
      </c>
    </row>
    <row r="39" spans="1:15" ht="13.15" customHeight="1" x14ac:dyDescent="0.25">
      <c r="A39" s="86" t="s">
        <v>441</v>
      </c>
      <c r="B39" s="36" t="s">
        <v>442</v>
      </c>
      <c r="C39" s="87">
        <v>20.61</v>
      </c>
      <c r="D39" s="88">
        <v>40.54</v>
      </c>
      <c r="E39" s="87">
        <v>26</v>
      </c>
      <c r="F39" s="37">
        <v>16.809999999999999</v>
      </c>
      <c r="G39" s="87">
        <v>13.78</v>
      </c>
      <c r="H39" s="87">
        <v>2581.6</v>
      </c>
      <c r="I39" s="92">
        <v>135.43</v>
      </c>
      <c r="J39" s="87">
        <v>655.20000000000005</v>
      </c>
      <c r="K39" s="87">
        <v>21.5</v>
      </c>
      <c r="L39" s="87">
        <v>201.6</v>
      </c>
      <c r="N39" s="33">
        <v>10000</v>
      </c>
      <c r="O39" s="5" t="s">
        <v>412</v>
      </c>
    </row>
    <row r="40" spans="1:15" ht="13.15" customHeight="1" x14ac:dyDescent="0.25">
      <c r="A40" s="86" t="s">
        <v>443</v>
      </c>
      <c r="B40" s="36" t="s">
        <v>444</v>
      </c>
      <c r="C40" s="87">
        <v>5.38</v>
      </c>
      <c r="D40" s="88">
        <v>10.09</v>
      </c>
      <c r="E40" s="87">
        <v>5.26</v>
      </c>
      <c r="F40" s="37">
        <v>3.81</v>
      </c>
      <c r="G40" s="87">
        <v>3.08</v>
      </c>
      <c r="H40" s="87">
        <v>437.3</v>
      </c>
      <c r="I40" s="92">
        <v>141.12</v>
      </c>
      <c r="J40" s="87">
        <v>159.04</v>
      </c>
      <c r="K40" s="87">
        <v>5.38</v>
      </c>
      <c r="L40" s="87">
        <v>37.049999999999997</v>
      </c>
      <c r="N40" s="33">
        <v>40000</v>
      </c>
      <c r="O40" s="5" t="s">
        <v>412</v>
      </c>
    </row>
    <row r="41" spans="1:15" ht="13.15" customHeight="1" x14ac:dyDescent="0.25">
      <c r="A41" s="86" t="s">
        <v>445</v>
      </c>
      <c r="B41" s="36" t="s">
        <v>446</v>
      </c>
      <c r="C41" s="87">
        <v>7.48</v>
      </c>
      <c r="D41" s="88">
        <v>12.43</v>
      </c>
      <c r="E41" s="87">
        <v>7.62</v>
      </c>
      <c r="F41" s="37">
        <v>6.05</v>
      </c>
      <c r="G41" s="87">
        <v>4.7</v>
      </c>
      <c r="H41" s="87">
        <v>593.6</v>
      </c>
      <c r="I41" s="92">
        <v>141.12</v>
      </c>
      <c r="J41" s="87">
        <v>215.6</v>
      </c>
      <c r="K41" s="87">
        <v>7.9</v>
      </c>
      <c r="L41" s="87">
        <v>63.54</v>
      </c>
      <c r="N41" s="33">
        <v>25000</v>
      </c>
      <c r="O41" s="5" t="s">
        <v>412</v>
      </c>
    </row>
    <row r="42" spans="1:15" ht="13.15" customHeight="1" x14ac:dyDescent="0.25">
      <c r="A42" s="86" t="s">
        <v>447</v>
      </c>
      <c r="B42" s="36" t="s">
        <v>448</v>
      </c>
      <c r="C42" s="87">
        <v>7.74</v>
      </c>
      <c r="D42" s="88">
        <v>14.34</v>
      </c>
      <c r="E42" s="87">
        <v>7.77</v>
      </c>
      <c r="F42" s="37">
        <v>5.84</v>
      </c>
      <c r="G42" s="87">
        <v>4.9400000000000004</v>
      </c>
      <c r="H42" s="87">
        <v>633.58000000000004</v>
      </c>
      <c r="I42" s="92">
        <v>50.4</v>
      </c>
      <c r="J42" s="87">
        <v>224</v>
      </c>
      <c r="K42" s="87">
        <v>7.71</v>
      </c>
      <c r="L42" s="87">
        <v>59.37</v>
      </c>
      <c r="N42" s="33">
        <v>2000</v>
      </c>
      <c r="O42" s="5" t="s">
        <v>409</v>
      </c>
    </row>
    <row r="43" spans="1:15" ht="13.15" customHeight="1" x14ac:dyDescent="0.25">
      <c r="A43" s="86" t="s">
        <v>449</v>
      </c>
      <c r="B43" s="36" t="s">
        <v>450</v>
      </c>
      <c r="C43" s="87">
        <v>4.8899999999999997</v>
      </c>
      <c r="D43" s="88">
        <v>9.83</v>
      </c>
      <c r="E43" s="87">
        <v>5.17</v>
      </c>
      <c r="F43" s="37">
        <v>3.82</v>
      </c>
      <c r="G43" s="87">
        <v>3.21</v>
      </c>
      <c r="H43" s="87">
        <v>402.57</v>
      </c>
      <c r="I43" s="92">
        <v>31.81</v>
      </c>
      <c r="J43" s="87">
        <v>160.16</v>
      </c>
      <c r="K43" s="87">
        <v>5.04</v>
      </c>
      <c r="L43" s="87">
        <v>37.409999999999997</v>
      </c>
      <c r="N43" s="33">
        <v>40000</v>
      </c>
      <c r="O43" s="5" t="s">
        <v>412</v>
      </c>
    </row>
    <row r="44" spans="1:15" ht="13.15" customHeight="1" x14ac:dyDescent="0.25">
      <c r="A44" s="86" t="s">
        <v>451</v>
      </c>
      <c r="B44" s="36" t="s">
        <v>452</v>
      </c>
      <c r="C44" s="87">
        <v>42.56</v>
      </c>
      <c r="D44" s="88">
        <v>84</v>
      </c>
      <c r="E44" s="87">
        <v>43.68</v>
      </c>
      <c r="F44" s="37">
        <v>32.479999999999997</v>
      </c>
      <c r="G44" s="87">
        <v>26.88</v>
      </c>
      <c r="H44" s="87">
        <v>3472</v>
      </c>
      <c r="I44" s="92">
        <v>280</v>
      </c>
      <c r="J44" s="87">
        <v>1288</v>
      </c>
      <c r="K44" s="87">
        <v>43.68</v>
      </c>
      <c r="L44" s="87">
        <v>336</v>
      </c>
      <c r="N44" s="33">
        <v>250000</v>
      </c>
      <c r="O44" s="5" t="s">
        <v>412</v>
      </c>
    </row>
    <row r="45" spans="1:15" ht="13.15" customHeight="1" x14ac:dyDescent="0.25">
      <c r="A45" s="86" t="s">
        <v>453</v>
      </c>
      <c r="B45" s="36" t="s">
        <v>454</v>
      </c>
      <c r="C45" s="87">
        <v>1.06</v>
      </c>
      <c r="D45" s="88">
        <v>1.47</v>
      </c>
      <c r="E45" s="87">
        <v>1.08</v>
      </c>
      <c r="F45" s="37">
        <v>0.72</v>
      </c>
      <c r="G45" s="87">
        <v>0.5</v>
      </c>
      <c r="H45" s="87">
        <v>84.95</v>
      </c>
      <c r="I45" s="92">
        <v>6.72</v>
      </c>
      <c r="J45" s="87">
        <v>24.84</v>
      </c>
      <c r="K45" s="87">
        <v>1.0900000000000001</v>
      </c>
      <c r="L45" s="87">
        <v>7.69</v>
      </c>
      <c r="N45" s="33">
        <v>100000</v>
      </c>
      <c r="O45" s="5" t="s">
        <v>412</v>
      </c>
    </row>
    <row r="46" spans="1:15" ht="13.15" customHeight="1" x14ac:dyDescent="0.25">
      <c r="A46" s="86" t="s">
        <v>455</v>
      </c>
      <c r="B46" s="36" t="s">
        <v>456</v>
      </c>
      <c r="C46" s="87">
        <v>41.44</v>
      </c>
      <c r="D46" s="88">
        <v>80.64</v>
      </c>
      <c r="E46" s="87">
        <v>41.44</v>
      </c>
      <c r="F46" s="37">
        <v>31.36</v>
      </c>
      <c r="G46" s="87">
        <v>24.64</v>
      </c>
      <c r="H46" s="87">
        <v>3360</v>
      </c>
      <c r="I46" s="92">
        <v>280</v>
      </c>
      <c r="J46" s="87">
        <v>1232</v>
      </c>
      <c r="K46" s="87">
        <v>42.56</v>
      </c>
      <c r="L46" s="87">
        <v>324.8</v>
      </c>
      <c r="N46" s="33">
        <v>200000</v>
      </c>
      <c r="O46" s="5" t="s">
        <v>412</v>
      </c>
    </row>
    <row r="47" spans="1:15" ht="13.15" customHeight="1" x14ac:dyDescent="0.25">
      <c r="A47" s="86" t="s">
        <v>457</v>
      </c>
      <c r="B47" s="36" t="s">
        <v>458</v>
      </c>
      <c r="C47" s="87">
        <v>28.27</v>
      </c>
      <c r="D47" s="88">
        <v>47.42</v>
      </c>
      <c r="E47" s="87">
        <v>29.84</v>
      </c>
      <c r="F47" s="37">
        <v>22.41</v>
      </c>
      <c r="G47" s="87">
        <v>18.14</v>
      </c>
      <c r="H47" s="87">
        <v>2244.56</v>
      </c>
      <c r="I47" s="92">
        <v>191.56</v>
      </c>
      <c r="J47" s="87">
        <v>963.92</v>
      </c>
      <c r="K47" s="87">
        <v>31.37</v>
      </c>
      <c r="L47" s="87">
        <v>225.16</v>
      </c>
      <c r="N47" s="33">
        <v>5000</v>
      </c>
      <c r="O47" s="5" t="s">
        <v>409</v>
      </c>
    </row>
    <row r="48" spans="1:15" ht="13.15" customHeight="1" x14ac:dyDescent="0.25">
      <c r="A48" s="86" t="s">
        <v>459</v>
      </c>
      <c r="B48" s="36" t="s">
        <v>460</v>
      </c>
      <c r="C48" s="87">
        <v>225.61</v>
      </c>
      <c r="D48" s="88">
        <v>459.2</v>
      </c>
      <c r="E48" s="87">
        <v>2444.41</v>
      </c>
      <c r="F48" s="37">
        <v>172.22</v>
      </c>
      <c r="G48" s="87">
        <v>148.96</v>
      </c>
      <c r="H48" s="87">
        <v>19600</v>
      </c>
      <c r="I48" s="92">
        <v>1612.8</v>
      </c>
      <c r="J48" s="87">
        <v>9968.18</v>
      </c>
      <c r="K48" s="87">
        <v>244.16</v>
      </c>
      <c r="L48" s="87">
        <v>1902.88</v>
      </c>
      <c r="N48" s="33">
        <v>1000</v>
      </c>
      <c r="O48" s="5" t="s">
        <v>412</v>
      </c>
    </row>
    <row r="49" spans="1:15" ht="13.15" customHeight="1" x14ac:dyDescent="0.25">
      <c r="A49" s="86" t="s">
        <v>461</v>
      </c>
      <c r="B49" s="36" t="s">
        <v>462</v>
      </c>
      <c r="C49" s="87">
        <v>225.7</v>
      </c>
      <c r="D49" s="88">
        <v>358.31</v>
      </c>
      <c r="E49" s="87">
        <v>222.16</v>
      </c>
      <c r="F49" s="37">
        <v>147.97</v>
      </c>
      <c r="G49" s="87">
        <v>140.83000000000001</v>
      </c>
      <c r="H49" s="87">
        <v>17959.07</v>
      </c>
      <c r="I49" s="92">
        <v>1507.97</v>
      </c>
      <c r="J49" s="87">
        <v>6720.45</v>
      </c>
      <c r="K49" s="87">
        <v>225.1</v>
      </c>
      <c r="L49" s="87">
        <v>1568.18</v>
      </c>
      <c r="N49" s="33">
        <v>5000</v>
      </c>
      <c r="O49" s="5" t="s">
        <v>412</v>
      </c>
    </row>
    <row r="50" spans="1:15" ht="13.15" customHeight="1" x14ac:dyDescent="0.25">
      <c r="A50" s="86" t="s">
        <v>463</v>
      </c>
      <c r="B50" s="36" t="s">
        <v>464</v>
      </c>
      <c r="C50" s="87">
        <v>54.88</v>
      </c>
      <c r="D50" s="88">
        <v>98.56</v>
      </c>
      <c r="E50" s="87">
        <v>53.76</v>
      </c>
      <c r="F50" s="37">
        <v>44.8</v>
      </c>
      <c r="G50" s="87">
        <v>34.72</v>
      </c>
      <c r="H50" s="87">
        <v>4592.1099999999997</v>
      </c>
      <c r="I50" s="92">
        <v>358.51</v>
      </c>
      <c r="J50" s="87">
        <v>1624</v>
      </c>
      <c r="K50" s="87">
        <v>57.23</v>
      </c>
      <c r="L50" s="87">
        <v>445.76</v>
      </c>
      <c r="N50" s="33">
        <v>250000</v>
      </c>
      <c r="O50" s="5" t="s">
        <v>412</v>
      </c>
    </row>
    <row r="51" spans="1:15" ht="13.15" customHeight="1" x14ac:dyDescent="0.25">
      <c r="A51" s="86" t="s">
        <v>465</v>
      </c>
      <c r="B51" s="36" t="s">
        <v>466</v>
      </c>
      <c r="C51" s="87">
        <v>29.04</v>
      </c>
      <c r="D51" s="88">
        <v>56.17</v>
      </c>
      <c r="E51" s="87">
        <v>28.87</v>
      </c>
      <c r="F51" s="37">
        <v>22.41</v>
      </c>
      <c r="G51" s="87">
        <v>18.23</v>
      </c>
      <c r="H51" s="87">
        <v>2500.23</v>
      </c>
      <c r="I51" s="92">
        <v>224.17</v>
      </c>
      <c r="J51" s="87">
        <v>955.37</v>
      </c>
      <c r="K51" s="87">
        <v>31.2</v>
      </c>
      <c r="L51" s="87">
        <v>235.94</v>
      </c>
      <c r="N51" s="33">
        <v>7000</v>
      </c>
      <c r="O51" s="5" t="s">
        <v>389</v>
      </c>
    </row>
    <row r="52" spans="1:15" ht="13.15" customHeight="1" x14ac:dyDescent="0.25">
      <c r="A52" s="86" t="s">
        <v>467</v>
      </c>
      <c r="B52" s="36" t="s">
        <v>468</v>
      </c>
      <c r="C52" s="87">
        <v>9.56</v>
      </c>
      <c r="D52" s="88">
        <v>18.12</v>
      </c>
      <c r="E52" s="89">
        <v>10.07</v>
      </c>
      <c r="F52" s="90">
        <v>6.96</v>
      </c>
      <c r="G52" s="87">
        <v>6.73</v>
      </c>
      <c r="H52" s="91">
        <v>902.42</v>
      </c>
      <c r="I52" s="93">
        <v>67.209999999999994</v>
      </c>
      <c r="J52" s="87">
        <v>269.20999999999998</v>
      </c>
      <c r="K52" s="89">
        <v>10.09</v>
      </c>
      <c r="L52" s="89">
        <v>90.34</v>
      </c>
      <c r="N52" s="33">
        <v>40000</v>
      </c>
      <c r="O52" s="5" t="s">
        <v>412</v>
      </c>
    </row>
    <row r="53" spans="1:15" ht="13.15" customHeight="1" x14ac:dyDescent="0.25">
      <c r="A53" s="86" t="s">
        <v>469</v>
      </c>
      <c r="B53" s="36" t="s">
        <v>470</v>
      </c>
      <c r="C53" s="87">
        <v>18.37</v>
      </c>
      <c r="D53" s="88">
        <v>33.6</v>
      </c>
      <c r="E53" s="87">
        <v>18.239999999999998</v>
      </c>
      <c r="F53" s="37">
        <v>17.04</v>
      </c>
      <c r="G53" s="87">
        <v>8.9700000000000006</v>
      </c>
      <c r="H53" s="87">
        <v>1799.07</v>
      </c>
      <c r="I53" s="92">
        <v>140</v>
      </c>
      <c r="J53" s="87">
        <v>609.84</v>
      </c>
      <c r="K53" s="87">
        <v>20.05</v>
      </c>
      <c r="L53" s="87">
        <v>166.88</v>
      </c>
      <c r="N53" s="33">
        <v>10000</v>
      </c>
      <c r="O53" s="5" t="s">
        <v>471</v>
      </c>
    </row>
    <row r="54" spans="1:15" ht="13.15" customHeight="1" x14ac:dyDescent="0.25">
      <c r="A54" s="86" t="s">
        <v>472</v>
      </c>
      <c r="B54" s="36" t="s">
        <v>473</v>
      </c>
      <c r="C54" s="87">
        <v>28.34</v>
      </c>
      <c r="D54" s="88">
        <v>50.74</v>
      </c>
      <c r="E54" s="87">
        <v>31.25</v>
      </c>
      <c r="F54" s="37">
        <v>20.61</v>
      </c>
      <c r="G54" s="87">
        <v>16.91</v>
      </c>
      <c r="H54" s="87">
        <v>2172.8000000000002</v>
      </c>
      <c r="I54" s="92">
        <v>338.33</v>
      </c>
      <c r="J54" s="87">
        <v>869.46</v>
      </c>
      <c r="K54" s="87">
        <v>30.58</v>
      </c>
      <c r="L54" s="87">
        <v>224.11</v>
      </c>
      <c r="N54" s="33">
        <v>10000</v>
      </c>
      <c r="O54" s="5" t="s">
        <v>412</v>
      </c>
    </row>
    <row r="55" spans="1:15" ht="13.15" customHeight="1" x14ac:dyDescent="0.25">
      <c r="A55" s="86" t="s">
        <v>474</v>
      </c>
      <c r="B55" s="36" t="s">
        <v>475</v>
      </c>
      <c r="C55" s="87">
        <v>17.850000000000001</v>
      </c>
      <c r="D55" s="88">
        <v>34.72</v>
      </c>
      <c r="E55" s="87">
        <v>19.940000000000001</v>
      </c>
      <c r="F55" s="37">
        <v>11.76</v>
      </c>
      <c r="G55" s="87">
        <v>17.47</v>
      </c>
      <c r="H55" s="87">
        <v>1601.6</v>
      </c>
      <c r="I55" s="92">
        <v>115.36</v>
      </c>
      <c r="J55" s="87">
        <v>582.4</v>
      </c>
      <c r="K55" s="87">
        <v>18.260000000000002</v>
      </c>
      <c r="L55" s="87">
        <v>153.44</v>
      </c>
      <c r="N55" s="33">
        <v>10000</v>
      </c>
      <c r="O55" s="5" t="s">
        <v>412</v>
      </c>
    </row>
    <row r="56" spans="1:15" ht="13.15" customHeight="1" x14ac:dyDescent="0.25">
      <c r="A56" s="86" t="s">
        <v>476</v>
      </c>
      <c r="B56" s="36" t="s">
        <v>477</v>
      </c>
      <c r="C56" s="87">
        <v>23.56</v>
      </c>
      <c r="D56" s="88">
        <v>56.24</v>
      </c>
      <c r="E56" s="87">
        <v>34.94</v>
      </c>
      <c r="F56" s="37">
        <v>24.08</v>
      </c>
      <c r="G56" s="87">
        <v>17.7</v>
      </c>
      <c r="H56" s="87">
        <v>2699.2</v>
      </c>
      <c r="I56" s="92">
        <v>212.8</v>
      </c>
      <c r="J56" s="87">
        <v>851.2</v>
      </c>
      <c r="K56" s="87">
        <v>22.64</v>
      </c>
      <c r="L56" s="87">
        <v>278.97000000000003</v>
      </c>
      <c r="N56" s="33">
        <v>4000</v>
      </c>
      <c r="O56" s="5" t="s">
        <v>471</v>
      </c>
    </row>
    <row r="57" spans="1:15" ht="13.15" customHeight="1" x14ac:dyDescent="0.25">
      <c r="A57" s="86" t="s">
        <v>478</v>
      </c>
      <c r="B57" s="36" t="s">
        <v>479</v>
      </c>
      <c r="C57" s="87">
        <v>17.920000000000002</v>
      </c>
      <c r="D57" s="88">
        <v>40.32</v>
      </c>
      <c r="E57" s="87">
        <v>21.84</v>
      </c>
      <c r="F57" s="37">
        <v>16.809999999999999</v>
      </c>
      <c r="G57" s="87">
        <v>11.65</v>
      </c>
      <c r="H57" s="87">
        <v>2172.8000000000002</v>
      </c>
      <c r="I57" s="92">
        <v>122.08</v>
      </c>
      <c r="J57" s="87">
        <v>672</v>
      </c>
      <c r="K57" s="87">
        <v>24.62</v>
      </c>
      <c r="L57" s="87">
        <v>231.28</v>
      </c>
      <c r="N57" s="33">
        <v>7500</v>
      </c>
      <c r="O57" s="5" t="s">
        <v>471</v>
      </c>
    </row>
    <row r="58" spans="1:15" ht="13.15" customHeight="1" x14ac:dyDescent="0.25">
      <c r="A58" s="86" t="s">
        <v>480</v>
      </c>
      <c r="B58" s="36" t="s">
        <v>481</v>
      </c>
      <c r="C58" s="87">
        <v>44.8</v>
      </c>
      <c r="D58" s="88">
        <v>92.96</v>
      </c>
      <c r="E58" s="87">
        <v>48.83</v>
      </c>
      <c r="F58" s="37">
        <v>37.86</v>
      </c>
      <c r="G58" s="87">
        <v>31.36</v>
      </c>
      <c r="H58" s="87">
        <v>3984.96</v>
      </c>
      <c r="I58" s="92">
        <v>311.47000000000003</v>
      </c>
      <c r="J58" s="87">
        <v>1453.76</v>
      </c>
      <c r="K58" s="87">
        <v>47.6</v>
      </c>
      <c r="L58" s="87">
        <v>376.32</v>
      </c>
      <c r="N58" s="33">
        <v>40000</v>
      </c>
      <c r="O58" s="5" t="s">
        <v>412</v>
      </c>
    </row>
    <row r="59" spans="1:15" ht="13.15" customHeight="1" x14ac:dyDescent="0.25">
      <c r="A59" s="86" t="s">
        <v>482</v>
      </c>
      <c r="B59" s="36" t="s">
        <v>483</v>
      </c>
      <c r="C59" s="87">
        <v>37.520000000000003</v>
      </c>
      <c r="D59" s="88">
        <v>67.44</v>
      </c>
      <c r="E59" s="87">
        <v>39.200000000000003</v>
      </c>
      <c r="F59" s="37">
        <v>29.23</v>
      </c>
      <c r="G59" s="87">
        <v>24.08</v>
      </c>
      <c r="H59" s="87">
        <v>3192</v>
      </c>
      <c r="I59" s="92">
        <v>228.48</v>
      </c>
      <c r="J59" s="87">
        <v>1187.2</v>
      </c>
      <c r="K59" s="87">
        <v>39.200000000000003</v>
      </c>
      <c r="L59" s="87">
        <v>280</v>
      </c>
      <c r="N59" s="33">
        <v>4000</v>
      </c>
      <c r="O59" s="5" t="s">
        <v>412</v>
      </c>
    </row>
    <row r="60" spans="1:15" ht="13.15" customHeight="1" x14ac:dyDescent="0.25">
      <c r="A60" s="86" t="s">
        <v>484</v>
      </c>
      <c r="B60" s="36" t="s">
        <v>485</v>
      </c>
      <c r="C60" s="87">
        <v>19.12</v>
      </c>
      <c r="D60" s="88">
        <v>33.729999999999997</v>
      </c>
      <c r="E60" s="87">
        <v>20.53</v>
      </c>
      <c r="F60" s="37">
        <v>12.43</v>
      </c>
      <c r="G60" s="87">
        <v>12.4</v>
      </c>
      <c r="H60" s="87">
        <v>1629.6</v>
      </c>
      <c r="I60" s="92">
        <v>138.88</v>
      </c>
      <c r="J60" s="87">
        <v>560</v>
      </c>
      <c r="K60" s="87">
        <v>20.72</v>
      </c>
      <c r="L60" s="87">
        <v>138.88</v>
      </c>
      <c r="N60" s="33">
        <v>3000</v>
      </c>
      <c r="O60" s="5" t="s">
        <v>412</v>
      </c>
    </row>
    <row r="61" spans="1:15" ht="13.15" customHeight="1" x14ac:dyDescent="0.25">
      <c r="A61" s="86" t="s">
        <v>486</v>
      </c>
      <c r="B61" s="36" t="s">
        <v>487</v>
      </c>
      <c r="C61" s="87">
        <v>4.41</v>
      </c>
      <c r="D61" s="88">
        <v>7.88</v>
      </c>
      <c r="E61" s="87">
        <v>5.23</v>
      </c>
      <c r="F61" s="37">
        <v>3.21</v>
      </c>
      <c r="G61" s="87">
        <v>3.21</v>
      </c>
      <c r="H61" s="87">
        <v>399.84</v>
      </c>
      <c r="I61" s="92">
        <v>31.25</v>
      </c>
      <c r="J61" s="87">
        <v>135.52000000000001</v>
      </c>
      <c r="K61" s="87">
        <v>5.12</v>
      </c>
      <c r="L61" s="87">
        <v>30.46</v>
      </c>
      <c r="N61" s="33">
        <v>40000</v>
      </c>
      <c r="O61" s="5" t="s">
        <v>409</v>
      </c>
    </row>
    <row r="62" spans="1:15" ht="13.15" customHeight="1" x14ac:dyDescent="0.25">
      <c r="A62" s="86" t="s">
        <v>488</v>
      </c>
      <c r="B62" s="36" t="s">
        <v>489</v>
      </c>
      <c r="C62" s="87">
        <v>4.57</v>
      </c>
      <c r="D62" s="88">
        <v>7.85</v>
      </c>
      <c r="E62" s="87">
        <v>4.95</v>
      </c>
      <c r="F62" s="37">
        <v>3.37</v>
      </c>
      <c r="G62" s="87">
        <v>2.48</v>
      </c>
      <c r="H62" s="87">
        <v>333.16</v>
      </c>
      <c r="I62" s="92">
        <v>28.67</v>
      </c>
      <c r="J62" s="87">
        <v>131.26</v>
      </c>
      <c r="K62" s="87">
        <v>4.76</v>
      </c>
      <c r="L62" s="87">
        <v>28.01</v>
      </c>
      <c r="N62" s="33">
        <v>50000</v>
      </c>
      <c r="O62" s="5" t="s">
        <v>409</v>
      </c>
    </row>
    <row r="63" spans="1:15" ht="13.15" customHeight="1" x14ac:dyDescent="0.25">
      <c r="A63" s="86" t="s">
        <v>490</v>
      </c>
      <c r="B63" s="36" t="s">
        <v>491</v>
      </c>
      <c r="C63" s="87">
        <v>23.76</v>
      </c>
      <c r="D63" s="88">
        <v>45.47</v>
      </c>
      <c r="E63" s="87">
        <v>25.75</v>
      </c>
      <c r="F63" s="37">
        <v>19.82</v>
      </c>
      <c r="G63" s="87">
        <v>15.69</v>
      </c>
      <c r="H63" s="87">
        <v>1993.6</v>
      </c>
      <c r="I63" s="92">
        <v>162.4</v>
      </c>
      <c r="J63" s="87">
        <v>750.4</v>
      </c>
      <c r="K63" s="87">
        <v>34.56</v>
      </c>
      <c r="L63" s="87">
        <v>194.88</v>
      </c>
      <c r="N63" s="33">
        <v>8000</v>
      </c>
      <c r="O63" s="5" t="s">
        <v>412</v>
      </c>
    </row>
    <row r="64" spans="1:15" ht="13.15" customHeight="1" x14ac:dyDescent="0.25">
      <c r="A64" s="86" t="s">
        <v>492</v>
      </c>
      <c r="B64" s="36" t="s">
        <v>493</v>
      </c>
      <c r="C64" s="87">
        <v>1388.17</v>
      </c>
      <c r="D64" s="88">
        <v>2721.6</v>
      </c>
      <c r="E64" s="87">
        <v>1377.6</v>
      </c>
      <c r="F64" s="37">
        <v>1083.53</v>
      </c>
      <c r="G64" s="87">
        <v>895.37</v>
      </c>
      <c r="H64" s="87">
        <v>123200</v>
      </c>
      <c r="I64" s="92">
        <v>9240</v>
      </c>
      <c r="J64" s="87">
        <v>42448</v>
      </c>
      <c r="K64" s="87">
        <v>1512.99</v>
      </c>
      <c r="L64" s="87">
        <v>11199.37</v>
      </c>
      <c r="N64" s="33">
        <v>50</v>
      </c>
      <c r="O64" s="5" t="s">
        <v>409</v>
      </c>
    </row>
    <row r="65" spans="1:15" ht="13.15" customHeight="1" x14ac:dyDescent="0.25">
      <c r="A65" s="86">
        <v>10001</v>
      </c>
      <c r="B65" s="36" t="s">
        <v>494</v>
      </c>
      <c r="C65" s="87">
        <v>6.78</v>
      </c>
      <c r="D65" s="88">
        <v>12.43</v>
      </c>
      <c r="E65" s="87">
        <v>7.85</v>
      </c>
      <c r="F65" s="37">
        <v>4.6900000000000004</v>
      </c>
      <c r="G65" s="87">
        <v>4.82</v>
      </c>
      <c r="H65" s="87">
        <v>616.55999999999995</v>
      </c>
      <c r="I65" s="92">
        <v>46.23</v>
      </c>
      <c r="J65" s="87">
        <v>222.25</v>
      </c>
      <c r="K65" s="87">
        <v>7.39</v>
      </c>
      <c r="L65" s="87">
        <v>49.64</v>
      </c>
      <c r="N65" s="33">
        <v>25000</v>
      </c>
      <c r="O65" s="5" t="s">
        <v>412</v>
      </c>
    </row>
    <row r="66" spans="1:15" ht="13.15" customHeight="1" x14ac:dyDescent="0.25">
      <c r="A66" s="86">
        <v>10003</v>
      </c>
      <c r="B66" s="36" t="s">
        <v>495</v>
      </c>
      <c r="C66" s="87">
        <v>8.74</v>
      </c>
      <c r="D66" s="88">
        <v>14.34</v>
      </c>
      <c r="E66" s="87">
        <v>8.8699999999999992</v>
      </c>
      <c r="F66" s="37">
        <v>5.57</v>
      </c>
      <c r="G66" s="87">
        <v>5.61</v>
      </c>
      <c r="H66" s="87">
        <v>705.85</v>
      </c>
      <c r="I66" s="92">
        <v>56.11</v>
      </c>
      <c r="J66" s="87">
        <v>249.2</v>
      </c>
      <c r="K66" s="87">
        <v>9.15</v>
      </c>
      <c r="L66" s="87">
        <v>67.09</v>
      </c>
      <c r="N66" s="33">
        <v>25000</v>
      </c>
      <c r="O66" s="5" t="s">
        <v>412</v>
      </c>
    </row>
    <row r="67" spans="1:15" ht="13.15" customHeight="1" x14ac:dyDescent="0.25">
      <c r="A67" s="86">
        <v>10004</v>
      </c>
      <c r="B67" s="36" t="s">
        <v>496</v>
      </c>
      <c r="C67" s="87">
        <v>30.46</v>
      </c>
      <c r="D67" s="88">
        <v>53.63</v>
      </c>
      <c r="E67" s="87">
        <v>27.6</v>
      </c>
      <c r="F67" s="37">
        <v>22.5</v>
      </c>
      <c r="G67" s="87">
        <v>20.72</v>
      </c>
      <c r="H67" s="87">
        <v>2688</v>
      </c>
      <c r="I67" s="92">
        <v>199.39</v>
      </c>
      <c r="J67" s="87">
        <v>871.73</v>
      </c>
      <c r="K67" s="87">
        <v>24.88</v>
      </c>
      <c r="L67" s="87">
        <v>233.49</v>
      </c>
      <c r="N67" s="33">
        <v>7500</v>
      </c>
      <c r="O67" s="5" t="s">
        <v>380</v>
      </c>
    </row>
    <row r="68" spans="1:15" ht="13.15" customHeight="1" x14ac:dyDescent="0.25">
      <c r="A68" s="86">
        <v>10005</v>
      </c>
      <c r="B68" s="36" t="s">
        <v>497</v>
      </c>
      <c r="C68" s="87">
        <v>7.62</v>
      </c>
      <c r="D68" s="88">
        <v>15.32</v>
      </c>
      <c r="E68" s="87">
        <v>7.8</v>
      </c>
      <c r="F68" s="37">
        <v>4.7</v>
      </c>
      <c r="G68" s="87">
        <v>4.84</v>
      </c>
      <c r="H68" s="87">
        <v>630.95000000000005</v>
      </c>
      <c r="I68" s="92">
        <v>51.18</v>
      </c>
      <c r="J68" s="87">
        <v>237.44</v>
      </c>
      <c r="K68" s="87">
        <v>8.06</v>
      </c>
      <c r="L68" s="87">
        <v>58.25</v>
      </c>
      <c r="N68" s="33">
        <v>25000</v>
      </c>
      <c r="O68" s="5" t="s">
        <v>369</v>
      </c>
    </row>
    <row r="69" spans="1:15" ht="13.15" customHeight="1" x14ac:dyDescent="0.25">
      <c r="A69" s="86">
        <v>10007</v>
      </c>
      <c r="B69" s="36" t="s">
        <v>498</v>
      </c>
      <c r="C69" s="87">
        <v>2.2599999999999998</v>
      </c>
      <c r="D69" s="88">
        <v>3.94</v>
      </c>
      <c r="E69" s="87">
        <v>2.48</v>
      </c>
      <c r="F69" s="37">
        <v>1.56</v>
      </c>
      <c r="G69" s="87">
        <v>1.58</v>
      </c>
      <c r="H69" s="87">
        <v>1402.17</v>
      </c>
      <c r="I69" s="92">
        <v>16.25</v>
      </c>
      <c r="J69" s="87">
        <v>68.89</v>
      </c>
      <c r="K69" s="87">
        <v>2.4900000000000002</v>
      </c>
      <c r="L69" s="87">
        <v>16.25</v>
      </c>
      <c r="N69" s="33">
        <v>50000</v>
      </c>
      <c r="O69" s="5" t="s">
        <v>412</v>
      </c>
    </row>
    <row r="70" spans="1:15" ht="13.15" customHeight="1" x14ac:dyDescent="0.25">
      <c r="A70" s="86">
        <v>10008</v>
      </c>
      <c r="B70" s="36" t="s">
        <v>499</v>
      </c>
      <c r="C70" s="87">
        <v>10.16</v>
      </c>
      <c r="D70" s="88">
        <v>17.989999999999998</v>
      </c>
      <c r="E70" s="87">
        <v>11.1</v>
      </c>
      <c r="F70" s="37">
        <v>7.36</v>
      </c>
      <c r="G70" s="87">
        <v>6.92</v>
      </c>
      <c r="H70" s="87">
        <v>957.95</v>
      </c>
      <c r="I70" s="92">
        <v>72.89</v>
      </c>
      <c r="J70" s="87">
        <v>325</v>
      </c>
      <c r="K70" s="87">
        <v>10.98</v>
      </c>
      <c r="L70" s="87">
        <v>80.319999999999993</v>
      </c>
      <c r="N70" s="33">
        <v>20000</v>
      </c>
      <c r="O70" s="5" t="s">
        <v>412</v>
      </c>
    </row>
    <row r="71" spans="1:15" ht="13.15" customHeight="1" x14ac:dyDescent="0.25">
      <c r="A71" s="86">
        <v>10009</v>
      </c>
      <c r="B71" s="36" t="s">
        <v>500</v>
      </c>
      <c r="C71" s="87">
        <v>20.04</v>
      </c>
      <c r="D71" s="88">
        <v>43.34</v>
      </c>
      <c r="E71" s="87">
        <v>20.5</v>
      </c>
      <c r="F71" s="37">
        <v>19.05</v>
      </c>
      <c r="G71" s="87">
        <v>12.77</v>
      </c>
      <c r="H71" s="87">
        <v>1656.35</v>
      </c>
      <c r="I71" s="92">
        <v>132.83000000000001</v>
      </c>
      <c r="J71" s="87">
        <v>603.70000000000005</v>
      </c>
      <c r="K71" s="87">
        <v>20.87</v>
      </c>
      <c r="L71" s="87">
        <v>155.68</v>
      </c>
      <c r="N71" s="33">
        <v>10000</v>
      </c>
      <c r="O71" s="5" t="s">
        <v>369</v>
      </c>
    </row>
    <row r="72" spans="1:15" ht="13.15" customHeight="1" x14ac:dyDescent="0.25">
      <c r="A72" s="86">
        <v>10010</v>
      </c>
      <c r="B72" s="36" t="s">
        <v>501</v>
      </c>
      <c r="C72" s="87">
        <v>17.14</v>
      </c>
      <c r="D72" s="88">
        <v>28.34</v>
      </c>
      <c r="E72" s="87">
        <v>17.899999999999999</v>
      </c>
      <c r="F72" s="37">
        <v>11.18</v>
      </c>
      <c r="G72" s="87">
        <v>10.65</v>
      </c>
      <c r="H72" s="87">
        <v>1376.03</v>
      </c>
      <c r="I72" s="92">
        <v>114.24</v>
      </c>
      <c r="J72" s="87">
        <v>505.13</v>
      </c>
      <c r="K72" s="87">
        <v>17025</v>
      </c>
      <c r="L72" s="87">
        <v>121.86</v>
      </c>
      <c r="N72" s="33">
        <v>10000</v>
      </c>
      <c r="O72" s="5" t="s">
        <v>380</v>
      </c>
    </row>
    <row r="73" spans="1:15" ht="13.15" customHeight="1" x14ac:dyDescent="0.25">
      <c r="A73" s="86">
        <v>10011</v>
      </c>
      <c r="B73" s="36" t="s">
        <v>502</v>
      </c>
      <c r="C73" s="87">
        <v>8.3699999999999992</v>
      </c>
      <c r="D73" s="88">
        <v>12.96</v>
      </c>
      <c r="E73" s="87">
        <v>8.9700000000000006</v>
      </c>
      <c r="F73" s="37">
        <v>5.61</v>
      </c>
      <c r="G73" s="87">
        <v>5.36</v>
      </c>
      <c r="H73" s="87">
        <v>721.9</v>
      </c>
      <c r="I73" s="92">
        <v>54.32</v>
      </c>
      <c r="J73" s="87">
        <v>280</v>
      </c>
      <c r="K73" s="87">
        <v>8.3800000000000008</v>
      </c>
      <c r="L73" s="87">
        <v>58.8</v>
      </c>
      <c r="N73" s="33">
        <v>5000</v>
      </c>
      <c r="O73" s="5" t="s">
        <v>412</v>
      </c>
    </row>
    <row r="74" spans="1:15" ht="13.15" customHeight="1" x14ac:dyDescent="0.25">
      <c r="A74" s="86">
        <v>11001</v>
      </c>
      <c r="B74" s="36" t="s">
        <v>503</v>
      </c>
      <c r="C74" s="87">
        <v>10.64</v>
      </c>
      <c r="D74" s="88">
        <v>23.41</v>
      </c>
      <c r="E74" s="87">
        <v>12.32</v>
      </c>
      <c r="F74" s="37">
        <v>8.9600000000000009</v>
      </c>
      <c r="G74" s="87">
        <v>6.93</v>
      </c>
      <c r="H74" s="87">
        <v>896</v>
      </c>
      <c r="I74" s="92">
        <v>76.38</v>
      </c>
      <c r="J74" s="87">
        <v>335.38</v>
      </c>
      <c r="K74" s="87">
        <v>12.43</v>
      </c>
      <c r="L74" s="87">
        <v>112</v>
      </c>
      <c r="N74" s="33">
        <v>10000</v>
      </c>
      <c r="O74" s="5" t="s">
        <v>412</v>
      </c>
    </row>
    <row r="75" spans="1:15" ht="13.15" customHeight="1" x14ac:dyDescent="0.25">
      <c r="A75" s="86">
        <v>11010</v>
      </c>
      <c r="B75" s="36" t="s">
        <v>504</v>
      </c>
      <c r="C75" s="87">
        <v>29.68</v>
      </c>
      <c r="D75" s="88">
        <v>56</v>
      </c>
      <c r="E75" s="87">
        <v>30.88</v>
      </c>
      <c r="F75" s="37">
        <v>21.85</v>
      </c>
      <c r="G75" s="87">
        <v>17.82</v>
      </c>
      <c r="H75" s="87">
        <v>2262.4</v>
      </c>
      <c r="I75" s="92">
        <v>159.15</v>
      </c>
      <c r="J75" s="87">
        <v>909.68</v>
      </c>
      <c r="K75" s="87">
        <v>31.47</v>
      </c>
      <c r="L75" s="87">
        <v>224.13</v>
      </c>
      <c r="N75" s="33">
        <v>5000</v>
      </c>
      <c r="O75" s="5" t="s">
        <v>412</v>
      </c>
    </row>
    <row r="76" spans="1:15" ht="13.15" customHeight="1" x14ac:dyDescent="0.25">
      <c r="A76" s="86">
        <v>12001</v>
      </c>
      <c r="B76" s="36" t="s">
        <v>505</v>
      </c>
      <c r="C76" s="87">
        <v>117.94</v>
      </c>
      <c r="D76" s="88">
        <v>224.22</v>
      </c>
      <c r="E76" s="87">
        <v>123.2</v>
      </c>
      <c r="F76" s="37">
        <v>92.62</v>
      </c>
      <c r="G76" s="87">
        <v>67.760000000000005</v>
      </c>
      <c r="H76" s="87">
        <v>9530.8799999999992</v>
      </c>
      <c r="I76" s="92">
        <v>1612.8</v>
      </c>
      <c r="J76" s="87">
        <v>3708.32</v>
      </c>
      <c r="K76" s="87">
        <v>127.79</v>
      </c>
      <c r="L76" s="87">
        <v>954.35</v>
      </c>
      <c r="N76" s="33">
        <v>2000</v>
      </c>
      <c r="O76" s="5" t="s">
        <v>409</v>
      </c>
    </row>
    <row r="77" spans="1:15" ht="13.15" customHeight="1" x14ac:dyDescent="0.25">
      <c r="A77" s="86">
        <v>12002</v>
      </c>
      <c r="B77" s="36" t="s">
        <v>506</v>
      </c>
      <c r="C77" s="87">
        <v>47.6</v>
      </c>
      <c r="D77" s="88">
        <v>101.7</v>
      </c>
      <c r="E77" s="87">
        <v>54.17</v>
      </c>
      <c r="F77" s="37">
        <v>36.369999999999997</v>
      </c>
      <c r="G77" s="87">
        <v>31.45</v>
      </c>
      <c r="H77" s="87">
        <v>3809.23</v>
      </c>
      <c r="I77" s="92">
        <v>341.63</v>
      </c>
      <c r="J77" s="87">
        <v>1456.49</v>
      </c>
      <c r="K77" s="87">
        <v>50.34</v>
      </c>
      <c r="L77" s="87">
        <v>345.91</v>
      </c>
      <c r="N77" s="33">
        <v>5000</v>
      </c>
      <c r="O77" s="5" t="s">
        <v>409</v>
      </c>
    </row>
    <row r="78" spans="1:15" ht="13.15" customHeight="1" x14ac:dyDescent="0.25">
      <c r="A78" s="86">
        <v>12004</v>
      </c>
      <c r="B78" s="36" t="s">
        <v>507</v>
      </c>
      <c r="C78" s="87">
        <v>34.130000000000003</v>
      </c>
      <c r="D78" s="88">
        <v>67.36</v>
      </c>
      <c r="E78" s="87">
        <v>33.840000000000003</v>
      </c>
      <c r="F78" s="37">
        <v>24.98</v>
      </c>
      <c r="G78" s="87">
        <v>44.24</v>
      </c>
      <c r="H78" s="87">
        <v>2744</v>
      </c>
      <c r="I78" s="92">
        <v>225.12</v>
      </c>
      <c r="J78" s="87">
        <v>1456.49</v>
      </c>
      <c r="K78" s="87">
        <v>34.729999999999997</v>
      </c>
      <c r="L78" s="87">
        <v>281.36</v>
      </c>
      <c r="N78" s="33">
        <v>5000</v>
      </c>
      <c r="O78" s="5" t="s">
        <v>409</v>
      </c>
    </row>
    <row r="79" spans="1:15" ht="13.15" customHeight="1" x14ac:dyDescent="0.25">
      <c r="A79" s="86">
        <v>12005</v>
      </c>
      <c r="B79" s="36" t="s">
        <v>508</v>
      </c>
      <c r="C79" s="87">
        <v>70.92</v>
      </c>
      <c r="D79" s="88">
        <v>143.47</v>
      </c>
      <c r="E79" s="87">
        <v>79.41</v>
      </c>
      <c r="F79" s="37">
        <v>52.86</v>
      </c>
      <c r="G79" s="87">
        <v>46.14</v>
      </c>
      <c r="H79" s="87">
        <v>5947.2</v>
      </c>
      <c r="I79" s="92">
        <v>1075.2</v>
      </c>
      <c r="J79" s="87">
        <v>2240</v>
      </c>
      <c r="K79" s="87">
        <v>71.94</v>
      </c>
      <c r="L79" s="87">
        <v>601.65</v>
      </c>
      <c r="N79" s="33">
        <v>3000</v>
      </c>
      <c r="O79" s="5" t="s">
        <v>409</v>
      </c>
    </row>
    <row r="80" spans="1:15" ht="13.15" customHeight="1" x14ac:dyDescent="0.25">
      <c r="A80" s="86">
        <v>12006</v>
      </c>
      <c r="B80" s="36" t="s">
        <v>509</v>
      </c>
      <c r="C80" s="87">
        <v>1.96</v>
      </c>
      <c r="D80" s="88">
        <v>4.7300000000000004</v>
      </c>
      <c r="E80" s="87">
        <v>2.77</v>
      </c>
      <c r="F80" s="37">
        <v>1.42</v>
      </c>
      <c r="G80" s="87">
        <v>1.43</v>
      </c>
      <c r="H80" s="87">
        <v>149.19999999999999</v>
      </c>
      <c r="I80" s="92">
        <v>23.52</v>
      </c>
      <c r="J80" s="87">
        <v>59.14</v>
      </c>
      <c r="K80" s="87">
        <v>2.33</v>
      </c>
      <c r="L80" s="87">
        <v>16.13</v>
      </c>
      <c r="N80" s="33">
        <v>50000</v>
      </c>
      <c r="O80" s="5" t="s">
        <v>471</v>
      </c>
    </row>
    <row r="81" spans="1:15" ht="13.15" customHeight="1" x14ac:dyDescent="0.25">
      <c r="A81" s="86">
        <v>12007</v>
      </c>
      <c r="B81" s="36" t="s">
        <v>510</v>
      </c>
      <c r="C81" s="87">
        <v>1.2</v>
      </c>
      <c r="D81" s="88">
        <v>2.48</v>
      </c>
      <c r="E81" s="87">
        <v>1.72</v>
      </c>
      <c r="F81" s="37">
        <v>0.95</v>
      </c>
      <c r="G81" s="87">
        <v>1.01</v>
      </c>
      <c r="H81" s="87">
        <v>105.38</v>
      </c>
      <c r="I81" s="92">
        <v>18.48</v>
      </c>
      <c r="J81" s="87">
        <v>45.47</v>
      </c>
      <c r="K81" s="87">
        <v>1.59</v>
      </c>
      <c r="L81" s="87">
        <v>10.09</v>
      </c>
      <c r="N81" s="33">
        <v>50000</v>
      </c>
      <c r="O81" s="5" t="s">
        <v>471</v>
      </c>
    </row>
    <row r="82" spans="1:15" ht="13.15" customHeight="1" x14ac:dyDescent="0.25">
      <c r="A82" s="86">
        <v>12008</v>
      </c>
      <c r="B82" s="36" t="s">
        <v>511</v>
      </c>
      <c r="C82" s="87">
        <v>1.06</v>
      </c>
      <c r="D82" s="88">
        <v>2.88</v>
      </c>
      <c r="E82" s="87">
        <v>1.75</v>
      </c>
      <c r="F82" s="37">
        <v>0.92</v>
      </c>
      <c r="G82" s="87">
        <v>0.87</v>
      </c>
      <c r="H82" s="87">
        <v>87.72</v>
      </c>
      <c r="I82" s="92">
        <v>16.13</v>
      </c>
      <c r="J82" s="87">
        <v>37.520000000000003</v>
      </c>
      <c r="K82" s="87">
        <v>1.37</v>
      </c>
      <c r="L82" s="87">
        <v>9.41</v>
      </c>
      <c r="N82" s="33">
        <v>50000</v>
      </c>
      <c r="O82" s="5" t="s">
        <v>471</v>
      </c>
    </row>
    <row r="83" spans="1:15" ht="13.15" customHeight="1" x14ac:dyDescent="0.25">
      <c r="A83" s="86">
        <v>12009</v>
      </c>
      <c r="B83" s="36" t="s">
        <v>512</v>
      </c>
      <c r="C83" s="87">
        <v>1.06</v>
      </c>
      <c r="D83" s="88">
        <v>2.25</v>
      </c>
      <c r="E83" s="87">
        <v>1.24</v>
      </c>
      <c r="F83" s="37">
        <v>0.77</v>
      </c>
      <c r="G83" s="87">
        <v>0.69</v>
      </c>
      <c r="H83" s="87">
        <v>77.39</v>
      </c>
      <c r="I83" s="92">
        <v>21.06</v>
      </c>
      <c r="J83" s="87">
        <v>32.26</v>
      </c>
      <c r="K83" s="87">
        <v>1.1399999999999999</v>
      </c>
      <c r="L83" s="87">
        <v>7.95</v>
      </c>
      <c r="N83" s="33">
        <v>50000</v>
      </c>
      <c r="O83" s="5" t="s">
        <v>471</v>
      </c>
    </row>
    <row r="84" spans="1:15" ht="13.15" customHeight="1" x14ac:dyDescent="0.25">
      <c r="A84" s="86">
        <v>12010</v>
      </c>
      <c r="B84" s="36" t="s">
        <v>513</v>
      </c>
      <c r="C84" s="87">
        <v>1.1299999999999999</v>
      </c>
      <c r="D84" s="88">
        <v>2.81</v>
      </c>
      <c r="E84" s="87">
        <v>1.88</v>
      </c>
      <c r="F84" s="37">
        <v>0.87</v>
      </c>
      <c r="G84" s="87">
        <v>0.62</v>
      </c>
      <c r="H84" s="87">
        <v>88.59</v>
      </c>
      <c r="I84" s="92">
        <v>20.83</v>
      </c>
      <c r="J84" s="87">
        <v>40.770000000000003</v>
      </c>
      <c r="K84" s="87">
        <v>1.29</v>
      </c>
      <c r="L84" s="87">
        <v>8.98</v>
      </c>
      <c r="N84" s="33">
        <v>50000</v>
      </c>
      <c r="O84" s="5" t="s">
        <v>471</v>
      </c>
    </row>
    <row r="85" spans="1:15" ht="13.15" customHeight="1" x14ac:dyDescent="0.25">
      <c r="A85" s="86">
        <v>13001</v>
      </c>
      <c r="B85" s="36" t="s">
        <v>514</v>
      </c>
      <c r="C85" s="87">
        <v>2.96</v>
      </c>
      <c r="D85" s="88">
        <v>5.61</v>
      </c>
      <c r="E85" s="87">
        <v>3.01</v>
      </c>
      <c r="F85" s="37">
        <v>1.99</v>
      </c>
      <c r="G85" s="87">
        <v>1.88</v>
      </c>
      <c r="H85" s="87">
        <v>272.2</v>
      </c>
      <c r="I85" s="92">
        <v>20.28</v>
      </c>
      <c r="J85" s="87">
        <v>98.72</v>
      </c>
      <c r="K85" s="87">
        <v>3.37</v>
      </c>
      <c r="L85" s="87">
        <v>24.29</v>
      </c>
      <c r="N85" s="33">
        <v>40000</v>
      </c>
      <c r="O85" s="5" t="s">
        <v>412</v>
      </c>
    </row>
    <row r="86" spans="1:15" ht="13.15" customHeight="1" x14ac:dyDescent="0.25">
      <c r="A86" s="86">
        <v>13008</v>
      </c>
      <c r="B86" s="36" t="s">
        <v>515</v>
      </c>
      <c r="C86" s="87">
        <v>33.28</v>
      </c>
      <c r="D86" s="88">
        <v>65.209999999999994</v>
      </c>
      <c r="E86" s="87">
        <v>32.26</v>
      </c>
      <c r="F86" s="37">
        <v>27.16</v>
      </c>
      <c r="G86" s="87">
        <v>21.5</v>
      </c>
      <c r="H86" s="87">
        <v>2938.88</v>
      </c>
      <c r="I86" s="92">
        <v>226.24</v>
      </c>
      <c r="J86" s="87">
        <v>1120.5</v>
      </c>
      <c r="K86" s="87">
        <v>33.86</v>
      </c>
      <c r="L86" s="87">
        <v>250.88</v>
      </c>
      <c r="N86" s="33">
        <v>3000</v>
      </c>
      <c r="O86" s="5" t="s">
        <v>412</v>
      </c>
    </row>
    <row r="87" spans="1:15" ht="13.15" customHeight="1" x14ac:dyDescent="0.25">
      <c r="A87" s="86">
        <v>14001</v>
      </c>
      <c r="B87" s="36" t="s">
        <v>516</v>
      </c>
      <c r="C87" s="87">
        <v>58.24</v>
      </c>
      <c r="D87" s="88">
        <v>116.48</v>
      </c>
      <c r="E87" s="87">
        <v>59.36</v>
      </c>
      <c r="F87" s="37">
        <v>43.68</v>
      </c>
      <c r="G87" s="87">
        <v>36.69</v>
      </c>
      <c r="H87" s="87">
        <v>5092.6400000000003</v>
      </c>
      <c r="I87" s="92">
        <v>392</v>
      </c>
      <c r="J87" s="87">
        <v>1736</v>
      </c>
      <c r="K87" s="87">
        <v>60.48</v>
      </c>
      <c r="L87" s="87">
        <v>476</v>
      </c>
      <c r="N87" s="33">
        <v>100000</v>
      </c>
      <c r="O87" s="5" t="s">
        <v>412</v>
      </c>
    </row>
    <row r="88" spans="1:15" ht="13.15" customHeight="1" x14ac:dyDescent="0.25">
      <c r="A88" s="86">
        <v>14009</v>
      </c>
      <c r="B88" s="36" t="s">
        <v>517</v>
      </c>
      <c r="C88" s="87">
        <v>29.12</v>
      </c>
      <c r="D88" s="88">
        <v>56</v>
      </c>
      <c r="E88" s="87">
        <v>39.119999999999997</v>
      </c>
      <c r="F88" s="37">
        <v>21.28</v>
      </c>
      <c r="G88" s="87">
        <v>16.8</v>
      </c>
      <c r="H88" s="87">
        <v>2408</v>
      </c>
      <c r="I88" s="92">
        <v>207.2</v>
      </c>
      <c r="J88" s="87">
        <v>795.2</v>
      </c>
      <c r="K88" s="87">
        <v>30.35</v>
      </c>
      <c r="L88" s="87">
        <v>224</v>
      </c>
      <c r="N88" s="33">
        <v>60000</v>
      </c>
      <c r="O88" s="5" t="s">
        <v>380</v>
      </c>
    </row>
    <row r="89" spans="1:15" ht="13.15" customHeight="1" x14ac:dyDescent="0.25">
      <c r="A89" s="86">
        <v>14010</v>
      </c>
      <c r="B89" s="36" t="s">
        <v>518</v>
      </c>
      <c r="C89" s="87">
        <v>12.21</v>
      </c>
      <c r="D89" s="88">
        <v>23.52</v>
      </c>
      <c r="E89" s="87">
        <v>12.32</v>
      </c>
      <c r="F89" s="37">
        <v>8.9600000000000009</v>
      </c>
      <c r="G89" s="87">
        <v>7.39</v>
      </c>
      <c r="H89" s="87">
        <v>1041.5999999999999</v>
      </c>
      <c r="I89" s="92">
        <v>84</v>
      </c>
      <c r="J89" s="87">
        <v>369.6</v>
      </c>
      <c r="K89" s="87">
        <v>12.32</v>
      </c>
      <c r="L89" s="87">
        <v>95.2</v>
      </c>
      <c r="N89" s="33">
        <v>60000</v>
      </c>
      <c r="O89" s="5" t="s">
        <v>380</v>
      </c>
    </row>
    <row r="90" spans="1:15" ht="13.15" customHeight="1" x14ac:dyDescent="0.25">
      <c r="A90" s="86">
        <v>15001</v>
      </c>
      <c r="B90" s="36" t="s">
        <v>519</v>
      </c>
      <c r="C90" s="87">
        <v>29.34</v>
      </c>
      <c r="D90" s="88">
        <v>59.25</v>
      </c>
      <c r="E90" s="87">
        <v>31.47</v>
      </c>
      <c r="F90" s="37">
        <v>23.23</v>
      </c>
      <c r="G90" s="87">
        <v>21.48</v>
      </c>
      <c r="H90" s="87">
        <v>2699.76</v>
      </c>
      <c r="I90" s="92">
        <v>229.04</v>
      </c>
      <c r="J90" s="87">
        <v>981.02</v>
      </c>
      <c r="K90" s="87">
        <v>37.909999999999997</v>
      </c>
      <c r="L90" s="87">
        <v>246.2</v>
      </c>
      <c r="N90" s="33">
        <v>7500</v>
      </c>
      <c r="O90" s="5" t="s">
        <v>412</v>
      </c>
    </row>
    <row r="91" spans="1:15" ht="13.15" customHeight="1" x14ac:dyDescent="0.25">
      <c r="A91" s="86">
        <v>15002</v>
      </c>
      <c r="B91" s="36" t="s">
        <v>520</v>
      </c>
      <c r="C91" s="87">
        <v>4.5999999999999996</v>
      </c>
      <c r="D91" s="88">
        <v>8.83</v>
      </c>
      <c r="E91" s="87">
        <v>4.66</v>
      </c>
      <c r="F91" s="37">
        <v>3.34</v>
      </c>
      <c r="G91" s="87">
        <v>4.4400000000000004</v>
      </c>
      <c r="H91" s="87">
        <v>362.88</v>
      </c>
      <c r="I91" s="92">
        <v>31.58</v>
      </c>
      <c r="J91" s="87">
        <v>127.68</v>
      </c>
      <c r="K91" s="87">
        <v>4.49</v>
      </c>
      <c r="L91" s="87">
        <v>35.08</v>
      </c>
      <c r="N91" s="33">
        <v>7500</v>
      </c>
      <c r="O91" s="5" t="s">
        <v>412</v>
      </c>
    </row>
    <row r="92" spans="1:15" ht="13.15" customHeight="1" x14ac:dyDescent="0.25">
      <c r="A92" s="86">
        <v>15003</v>
      </c>
      <c r="B92" s="36" t="s">
        <v>521</v>
      </c>
      <c r="C92" s="87">
        <v>16.43</v>
      </c>
      <c r="D92" s="88">
        <v>33.450000000000003</v>
      </c>
      <c r="E92" s="87">
        <v>17.93</v>
      </c>
      <c r="F92" s="37">
        <v>12.33</v>
      </c>
      <c r="G92" s="87">
        <v>10.64</v>
      </c>
      <c r="H92" s="87">
        <v>1466.08</v>
      </c>
      <c r="I92" s="92">
        <v>110.17</v>
      </c>
      <c r="J92" s="87">
        <v>464.27</v>
      </c>
      <c r="K92" s="87">
        <v>17.93</v>
      </c>
      <c r="L92" s="87">
        <v>132.16</v>
      </c>
      <c r="N92" s="33">
        <v>10000</v>
      </c>
      <c r="O92" s="5" t="s">
        <v>412</v>
      </c>
    </row>
    <row r="93" spans="1:15" ht="13.15" customHeight="1" x14ac:dyDescent="0.25">
      <c r="A93" s="86">
        <v>15004</v>
      </c>
      <c r="B93" s="36" t="s">
        <v>522</v>
      </c>
      <c r="C93" s="87">
        <v>5.84</v>
      </c>
      <c r="D93" s="88">
        <v>11.31</v>
      </c>
      <c r="E93" s="87">
        <v>5.95</v>
      </c>
      <c r="F93" s="37">
        <v>4.2300000000000004</v>
      </c>
      <c r="G93" s="87">
        <v>6.16</v>
      </c>
      <c r="H93" s="87">
        <v>498.4</v>
      </c>
      <c r="I93" s="92">
        <v>40.1</v>
      </c>
      <c r="J93" s="87">
        <v>173.04</v>
      </c>
      <c r="K93" s="87">
        <v>6.06</v>
      </c>
      <c r="L93" s="87">
        <v>46.03</v>
      </c>
      <c r="N93" s="33">
        <v>10000</v>
      </c>
      <c r="O93" s="5" t="s">
        <v>412</v>
      </c>
    </row>
    <row r="94" spans="1:15" ht="13.15" customHeight="1" x14ac:dyDescent="0.25">
      <c r="A94" s="86">
        <v>15005</v>
      </c>
      <c r="B94" s="36" t="s">
        <v>523</v>
      </c>
      <c r="C94" s="87">
        <v>19.54</v>
      </c>
      <c r="D94" s="88">
        <v>39.44</v>
      </c>
      <c r="E94" s="87">
        <v>20.94</v>
      </c>
      <c r="F94" s="37">
        <v>17.920000000000002</v>
      </c>
      <c r="G94" s="87">
        <v>12.33</v>
      </c>
      <c r="H94" s="87">
        <v>1702.4</v>
      </c>
      <c r="I94" s="92">
        <v>172.48</v>
      </c>
      <c r="J94" s="87">
        <v>762.46</v>
      </c>
      <c r="K94" s="87">
        <v>26.32</v>
      </c>
      <c r="L94" s="87">
        <v>177.24</v>
      </c>
      <c r="N94" s="33">
        <v>8000</v>
      </c>
      <c r="O94" s="5" t="s">
        <v>412</v>
      </c>
    </row>
    <row r="95" spans="1:15" ht="13.15" customHeight="1" x14ac:dyDescent="0.25">
      <c r="A95" s="86">
        <v>15008</v>
      </c>
      <c r="B95" s="36" t="s">
        <v>524</v>
      </c>
      <c r="C95" s="87">
        <v>1.43</v>
      </c>
      <c r="D95" s="88">
        <v>15.18</v>
      </c>
      <c r="E95" s="87">
        <v>8.75</v>
      </c>
      <c r="F95" s="37">
        <v>9.18</v>
      </c>
      <c r="G95" s="87">
        <v>5.36</v>
      </c>
      <c r="H95" s="87">
        <v>673.13</v>
      </c>
      <c r="I95" s="92">
        <v>59.15</v>
      </c>
      <c r="J95" s="87">
        <v>252</v>
      </c>
      <c r="K95" s="87">
        <v>8.74</v>
      </c>
      <c r="L95" s="87">
        <v>67.959999999999994</v>
      </c>
      <c r="N95" s="33">
        <v>25000</v>
      </c>
      <c r="O95" s="5" t="s">
        <v>412</v>
      </c>
    </row>
    <row r="96" spans="1:15" ht="13.15" customHeight="1" x14ac:dyDescent="0.25">
      <c r="A96" s="86">
        <v>15009</v>
      </c>
      <c r="B96" s="36" t="s">
        <v>525</v>
      </c>
      <c r="C96" s="87">
        <v>19.54</v>
      </c>
      <c r="D96" s="88">
        <v>38.64</v>
      </c>
      <c r="E96" s="87">
        <v>21.29</v>
      </c>
      <c r="F96" s="37">
        <v>13.45</v>
      </c>
      <c r="G96" s="87">
        <v>13.23</v>
      </c>
      <c r="H96" s="87">
        <v>1624</v>
      </c>
      <c r="I96" s="92">
        <v>132.16</v>
      </c>
      <c r="J96" s="87">
        <v>737.59</v>
      </c>
      <c r="K96" s="87">
        <v>21.29</v>
      </c>
      <c r="L96" s="87">
        <v>188.79</v>
      </c>
      <c r="N96" s="33">
        <v>10000</v>
      </c>
      <c r="O96" s="5" t="s">
        <v>412</v>
      </c>
    </row>
    <row r="97" spans="1:15" ht="13.15" customHeight="1" x14ac:dyDescent="0.25">
      <c r="A97" s="86">
        <v>16001</v>
      </c>
      <c r="B97" s="36" t="s">
        <v>526</v>
      </c>
      <c r="C97" s="87">
        <v>1.41</v>
      </c>
      <c r="D97" s="88">
        <v>2.76</v>
      </c>
      <c r="E97" s="87">
        <v>1.81</v>
      </c>
      <c r="F97" s="37">
        <v>1.1499999999999999</v>
      </c>
      <c r="G97" s="87">
        <v>0.91</v>
      </c>
      <c r="H97" s="87">
        <v>122.42</v>
      </c>
      <c r="I97" s="92">
        <v>9.51</v>
      </c>
      <c r="J97" s="87">
        <v>48.18</v>
      </c>
      <c r="K97" s="87">
        <v>1.58</v>
      </c>
      <c r="L97" s="87">
        <v>12.33</v>
      </c>
      <c r="N97" s="33">
        <v>50000</v>
      </c>
      <c r="O97" s="5" t="s">
        <v>412</v>
      </c>
    </row>
    <row r="98" spans="1:15" ht="13.15" customHeight="1" x14ac:dyDescent="0.25">
      <c r="A98" s="86">
        <v>16008</v>
      </c>
      <c r="B98" s="36" t="s">
        <v>527</v>
      </c>
      <c r="C98" s="87">
        <v>41.53</v>
      </c>
      <c r="D98" s="88">
        <v>96.77</v>
      </c>
      <c r="E98" s="87">
        <v>67.239999999999995</v>
      </c>
      <c r="F98" s="37">
        <v>33.04</v>
      </c>
      <c r="G98" s="87">
        <v>27.44</v>
      </c>
      <c r="H98" s="87">
        <v>2846.58</v>
      </c>
      <c r="I98" s="92">
        <v>247.53</v>
      </c>
      <c r="J98" s="87">
        <v>1540.11</v>
      </c>
      <c r="K98" s="87">
        <v>50.62</v>
      </c>
      <c r="L98" s="87">
        <v>342.72</v>
      </c>
      <c r="N98" s="33">
        <v>5000</v>
      </c>
      <c r="O98" s="5" t="s">
        <v>412</v>
      </c>
    </row>
    <row r="99" spans="1:15" ht="13.15" customHeight="1" x14ac:dyDescent="0.25">
      <c r="A99" s="86">
        <v>16009</v>
      </c>
      <c r="B99" s="36" t="s">
        <v>528</v>
      </c>
      <c r="C99" s="87">
        <v>1.1100000000000001</v>
      </c>
      <c r="D99" s="88">
        <v>2.25</v>
      </c>
      <c r="E99" s="87">
        <v>1.31</v>
      </c>
      <c r="F99" s="37">
        <v>0.85</v>
      </c>
      <c r="G99" s="87">
        <v>0.76</v>
      </c>
      <c r="H99" s="87">
        <v>87.47</v>
      </c>
      <c r="I99" s="92">
        <v>7.22</v>
      </c>
      <c r="J99" s="87">
        <v>33.49</v>
      </c>
      <c r="K99" s="87">
        <v>1.18</v>
      </c>
      <c r="L99" s="87">
        <v>8.9700000000000006</v>
      </c>
      <c r="N99" s="33">
        <v>150000</v>
      </c>
      <c r="O99" s="5" t="s">
        <v>412</v>
      </c>
    </row>
    <row r="100" spans="1:15" ht="13.15" customHeight="1" x14ac:dyDescent="0.25">
      <c r="A100" s="86">
        <v>17001</v>
      </c>
      <c r="B100" s="36" t="s">
        <v>529</v>
      </c>
      <c r="C100" s="87">
        <v>5.24</v>
      </c>
      <c r="D100" s="88">
        <v>20.6</v>
      </c>
      <c r="E100" s="87">
        <v>5.61</v>
      </c>
      <c r="F100" s="37">
        <v>3.45</v>
      </c>
      <c r="G100" s="87">
        <v>3.47</v>
      </c>
      <c r="H100" s="87">
        <v>454.78</v>
      </c>
      <c r="I100" s="92">
        <v>35.97</v>
      </c>
      <c r="J100" s="87">
        <v>157.91999999999999</v>
      </c>
      <c r="K100" s="87">
        <v>5.68</v>
      </c>
      <c r="L100" s="87">
        <v>35.880000000000003</v>
      </c>
      <c r="N100" s="33">
        <v>40000</v>
      </c>
      <c r="O100" s="5" t="s">
        <v>412</v>
      </c>
    </row>
    <row r="101" spans="1:15" ht="13.15" customHeight="1" x14ac:dyDescent="0.25">
      <c r="A101" s="86">
        <v>17002</v>
      </c>
      <c r="B101" s="36" t="s">
        <v>530</v>
      </c>
      <c r="C101" s="87">
        <v>708.28</v>
      </c>
      <c r="D101" s="88">
        <v>1114.4000000000001</v>
      </c>
      <c r="E101" s="87">
        <v>609.52</v>
      </c>
      <c r="F101" s="37">
        <v>465.92</v>
      </c>
      <c r="G101" s="87">
        <v>368.48</v>
      </c>
      <c r="H101" s="87">
        <v>45528</v>
      </c>
      <c r="I101" s="92">
        <v>3457.44</v>
      </c>
      <c r="J101" s="87">
        <v>16511.04</v>
      </c>
      <c r="K101" s="87">
        <v>591.36</v>
      </c>
      <c r="L101" s="87">
        <v>4655.84</v>
      </c>
      <c r="N101" s="33">
        <v>300</v>
      </c>
      <c r="O101" s="5" t="s">
        <v>412</v>
      </c>
    </row>
    <row r="102" spans="1:15" ht="13.15" customHeight="1" x14ac:dyDescent="0.25">
      <c r="A102" s="86">
        <v>17009</v>
      </c>
      <c r="B102" s="36" t="s">
        <v>531</v>
      </c>
      <c r="C102" s="87">
        <v>10.25</v>
      </c>
      <c r="D102" s="88">
        <v>18.03</v>
      </c>
      <c r="E102" s="87">
        <v>10.75</v>
      </c>
      <c r="F102" s="37">
        <v>7.67</v>
      </c>
      <c r="G102" s="87">
        <v>6.42</v>
      </c>
      <c r="H102" s="87">
        <v>860.56</v>
      </c>
      <c r="I102" s="92">
        <v>67.59</v>
      </c>
      <c r="J102" s="87">
        <v>249.28</v>
      </c>
      <c r="K102" s="87">
        <v>10.37</v>
      </c>
      <c r="L102" s="87">
        <v>72.84</v>
      </c>
      <c r="N102" s="33">
        <v>25000</v>
      </c>
      <c r="O102" s="5" t="s">
        <v>412</v>
      </c>
    </row>
    <row r="103" spans="1:15" ht="13.15" customHeight="1" x14ac:dyDescent="0.25">
      <c r="A103" s="86">
        <v>17010</v>
      </c>
      <c r="B103" s="36" t="s">
        <v>532</v>
      </c>
      <c r="C103" s="87">
        <v>13.45</v>
      </c>
      <c r="D103" s="88">
        <v>20.29</v>
      </c>
      <c r="E103" s="87">
        <v>15.92</v>
      </c>
      <c r="F103" s="37">
        <v>12.03</v>
      </c>
      <c r="G103" s="87">
        <v>9.5</v>
      </c>
      <c r="H103" s="87">
        <v>1238.57</v>
      </c>
      <c r="I103" s="92">
        <v>101.04</v>
      </c>
      <c r="J103" s="87">
        <v>401.69</v>
      </c>
      <c r="K103" s="87">
        <v>15.55</v>
      </c>
      <c r="L103" s="87">
        <v>104.43</v>
      </c>
      <c r="N103" s="33">
        <v>15000</v>
      </c>
      <c r="O103" s="5" t="s">
        <v>412</v>
      </c>
    </row>
    <row r="104" spans="1:15" ht="13.15" customHeight="1" x14ac:dyDescent="0.25">
      <c r="A104" s="86">
        <v>18001</v>
      </c>
      <c r="B104" s="36" t="s">
        <v>533</v>
      </c>
      <c r="C104" s="87">
        <v>30.25</v>
      </c>
      <c r="D104" s="88">
        <v>45.79</v>
      </c>
      <c r="E104" s="87">
        <v>28.57</v>
      </c>
      <c r="F104" s="37">
        <v>21.29</v>
      </c>
      <c r="G104" s="87">
        <v>17.91</v>
      </c>
      <c r="H104" s="87">
        <v>2243.62</v>
      </c>
      <c r="I104" s="92">
        <v>177.14</v>
      </c>
      <c r="J104" s="87">
        <v>882.52</v>
      </c>
      <c r="K104" s="87">
        <v>28.67</v>
      </c>
      <c r="L104" s="87">
        <v>211.18</v>
      </c>
      <c r="N104" s="33">
        <v>10000</v>
      </c>
      <c r="O104" s="5" t="s">
        <v>412</v>
      </c>
    </row>
    <row r="105" spans="1:15" ht="13.15" customHeight="1" x14ac:dyDescent="0.25">
      <c r="A105" s="86">
        <v>18006</v>
      </c>
      <c r="B105" s="36" t="s">
        <v>534</v>
      </c>
      <c r="C105" s="87">
        <v>56.78</v>
      </c>
      <c r="D105" s="88">
        <v>87.88</v>
      </c>
      <c r="E105" s="87">
        <v>50.49</v>
      </c>
      <c r="F105" s="37">
        <v>35.9</v>
      </c>
      <c r="G105" s="87">
        <v>36.57</v>
      </c>
      <c r="H105" s="87">
        <v>4508.22</v>
      </c>
      <c r="I105" s="92">
        <v>377.46</v>
      </c>
      <c r="J105" s="87">
        <v>1793.01</v>
      </c>
      <c r="K105" s="87">
        <v>62.25</v>
      </c>
      <c r="L105" s="87">
        <v>448.15</v>
      </c>
      <c r="N105" s="33">
        <v>4000</v>
      </c>
      <c r="O105" s="5" t="s">
        <v>412</v>
      </c>
    </row>
    <row r="106" spans="1:15" ht="13.15" customHeight="1" x14ac:dyDescent="0.25">
      <c r="A106" s="86">
        <v>18009</v>
      </c>
      <c r="B106" s="36" t="s">
        <v>535</v>
      </c>
      <c r="C106" s="87">
        <v>25.76</v>
      </c>
      <c r="D106" s="88">
        <v>61.24</v>
      </c>
      <c r="E106" s="87">
        <v>33.619999999999997</v>
      </c>
      <c r="F106" s="37">
        <v>22.75</v>
      </c>
      <c r="G106" s="87">
        <v>16.809999999999999</v>
      </c>
      <c r="H106" s="87">
        <v>2240.7199999999998</v>
      </c>
      <c r="I106" s="92">
        <v>214.31</v>
      </c>
      <c r="J106" s="87">
        <v>991.31</v>
      </c>
      <c r="K106" s="87">
        <v>27.15</v>
      </c>
      <c r="L106" s="87">
        <v>254.73</v>
      </c>
      <c r="N106" s="33">
        <v>10000</v>
      </c>
      <c r="O106" s="5" t="s">
        <v>412</v>
      </c>
    </row>
    <row r="107" spans="1:15" ht="13.15" customHeight="1" x14ac:dyDescent="0.25">
      <c r="A107" s="86">
        <v>19001</v>
      </c>
      <c r="B107" s="36" t="s">
        <v>536</v>
      </c>
      <c r="C107" s="87">
        <v>60.61</v>
      </c>
      <c r="D107" s="88">
        <v>172.65</v>
      </c>
      <c r="E107" s="87">
        <v>67.17</v>
      </c>
      <c r="F107" s="37">
        <v>47.6</v>
      </c>
      <c r="G107" s="87">
        <v>42.58</v>
      </c>
      <c r="H107" s="87">
        <v>5656</v>
      </c>
      <c r="I107" s="92">
        <v>428.81</v>
      </c>
      <c r="J107" s="87">
        <v>1904</v>
      </c>
      <c r="K107" s="87">
        <v>65.52</v>
      </c>
      <c r="L107" s="87">
        <v>511.84</v>
      </c>
      <c r="N107" s="33">
        <v>2500</v>
      </c>
      <c r="O107" s="5" t="s">
        <v>537</v>
      </c>
    </row>
    <row r="108" spans="1:15" ht="13.15" customHeight="1" x14ac:dyDescent="0.25">
      <c r="A108" s="86">
        <v>19006</v>
      </c>
      <c r="B108" s="36" t="s">
        <v>538</v>
      </c>
      <c r="C108" s="87">
        <v>35.17</v>
      </c>
      <c r="D108" s="88">
        <v>113.55</v>
      </c>
      <c r="E108" s="87">
        <v>35.06</v>
      </c>
      <c r="F108" s="37">
        <v>27.66</v>
      </c>
      <c r="G108" s="87">
        <v>22.8</v>
      </c>
      <c r="H108" s="87">
        <v>2968</v>
      </c>
      <c r="I108" s="92">
        <v>241.19</v>
      </c>
      <c r="J108" s="87">
        <v>1037.49</v>
      </c>
      <c r="K108" s="87">
        <v>37.83</v>
      </c>
      <c r="L108" s="87">
        <v>273.83999999999997</v>
      </c>
      <c r="N108" s="33">
        <v>10000</v>
      </c>
      <c r="O108" s="5" t="s">
        <v>537</v>
      </c>
    </row>
    <row r="109" spans="1:15" ht="13.15" customHeight="1" x14ac:dyDescent="0.25">
      <c r="A109" s="86">
        <v>19009</v>
      </c>
      <c r="B109" s="36" t="s">
        <v>539</v>
      </c>
      <c r="C109" s="87">
        <v>19.38</v>
      </c>
      <c r="D109" s="88">
        <v>61.64</v>
      </c>
      <c r="E109" s="87">
        <v>20.03</v>
      </c>
      <c r="F109" s="37">
        <v>13.53</v>
      </c>
      <c r="G109" s="87">
        <v>11.76</v>
      </c>
      <c r="H109" s="87">
        <v>1641.09</v>
      </c>
      <c r="I109" s="92">
        <v>133.56</v>
      </c>
      <c r="J109" s="87">
        <v>616</v>
      </c>
      <c r="K109" s="87">
        <v>21.06</v>
      </c>
      <c r="L109" s="87">
        <v>145.08000000000001</v>
      </c>
      <c r="N109" s="33">
        <v>10000</v>
      </c>
      <c r="O109" s="5" t="s">
        <v>537</v>
      </c>
    </row>
    <row r="110" spans="1:15" ht="13.15" customHeight="1" x14ac:dyDescent="0.25">
      <c r="A110" s="86">
        <v>19010</v>
      </c>
      <c r="B110" s="36" t="s">
        <v>540</v>
      </c>
      <c r="C110" s="87">
        <v>708.19</v>
      </c>
      <c r="D110" s="88">
        <v>268.8</v>
      </c>
      <c r="E110" s="87">
        <v>135.52000000000001</v>
      </c>
      <c r="F110" s="37">
        <v>102.48</v>
      </c>
      <c r="G110" s="87">
        <v>85.68</v>
      </c>
      <c r="H110" s="87">
        <v>10729.6</v>
      </c>
      <c r="I110" s="92">
        <v>840</v>
      </c>
      <c r="J110" s="87">
        <v>4188.8</v>
      </c>
      <c r="K110" s="87">
        <v>134.4</v>
      </c>
      <c r="L110" s="87">
        <v>1033.76</v>
      </c>
      <c r="N110" s="33">
        <v>2000</v>
      </c>
      <c r="O110" s="5" t="s">
        <v>537</v>
      </c>
    </row>
    <row r="111" spans="1:15" ht="13.15" customHeight="1" x14ac:dyDescent="0.25">
      <c r="A111" s="86">
        <v>20001</v>
      </c>
      <c r="B111" s="36" t="s">
        <v>541</v>
      </c>
      <c r="C111" s="87">
        <v>212.03</v>
      </c>
      <c r="D111" s="88">
        <v>456.33</v>
      </c>
      <c r="E111" s="87">
        <v>249.75</v>
      </c>
      <c r="F111" s="37">
        <v>173.68</v>
      </c>
      <c r="G111" s="87">
        <v>117.04</v>
      </c>
      <c r="H111" s="87">
        <v>20160.64</v>
      </c>
      <c r="I111" s="92">
        <v>1368.64</v>
      </c>
      <c r="J111" s="87">
        <v>6966.4</v>
      </c>
      <c r="K111" s="87">
        <v>207.6</v>
      </c>
      <c r="L111" s="87">
        <v>1911.83</v>
      </c>
      <c r="N111" s="33">
        <v>1000</v>
      </c>
      <c r="O111" s="5" t="s">
        <v>389</v>
      </c>
    </row>
    <row r="112" spans="1:15" ht="13.15" customHeight="1" x14ac:dyDescent="0.25">
      <c r="A112" s="86">
        <v>20004</v>
      </c>
      <c r="B112" s="36" t="s">
        <v>542</v>
      </c>
      <c r="C112" s="87">
        <v>106.96</v>
      </c>
      <c r="D112" s="88">
        <v>205.06</v>
      </c>
      <c r="E112" s="87">
        <v>100.96</v>
      </c>
      <c r="F112" s="37">
        <v>77.400000000000006</v>
      </c>
      <c r="G112" s="87">
        <v>55.2</v>
      </c>
      <c r="H112" s="87">
        <v>9856</v>
      </c>
      <c r="I112" s="92">
        <v>770.62</v>
      </c>
      <c r="J112" s="87">
        <v>2945.6</v>
      </c>
      <c r="K112" s="87">
        <v>111.87</v>
      </c>
      <c r="L112" s="87">
        <v>872.75</v>
      </c>
      <c r="N112" s="33">
        <v>3000</v>
      </c>
      <c r="O112" s="5" t="s">
        <v>402</v>
      </c>
    </row>
    <row r="113" spans="1:15" ht="13.15" customHeight="1" x14ac:dyDescent="0.25">
      <c r="A113" s="86">
        <v>20005</v>
      </c>
      <c r="B113" s="36" t="s">
        <v>543</v>
      </c>
      <c r="C113" s="87">
        <v>103.04</v>
      </c>
      <c r="D113" s="88">
        <v>177.07</v>
      </c>
      <c r="E113" s="87">
        <v>70.8</v>
      </c>
      <c r="F113" s="37">
        <v>48.43</v>
      </c>
      <c r="G113" s="87">
        <v>44.87</v>
      </c>
      <c r="H113" s="87">
        <v>8163.68</v>
      </c>
      <c r="I113" s="92">
        <v>703.47</v>
      </c>
      <c r="J113" s="87">
        <v>2235.04</v>
      </c>
      <c r="K113" s="87">
        <v>72.900000000000006</v>
      </c>
      <c r="L113" s="87">
        <v>750.4</v>
      </c>
      <c r="N113" s="33">
        <v>5000</v>
      </c>
      <c r="O113" s="5" t="s">
        <v>389</v>
      </c>
    </row>
    <row r="114" spans="1:15" ht="13.15" customHeight="1" x14ac:dyDescent="0.25">
      <c r="A114" s="86">
        <v>21001</v>
      </c>
      <c r="B114" s="36" t="s">
        <v>544</v>
      </c>
      <c r="C114" s="87">
        <v>45.36</v>
      </c>
      <c r="D114" s="88">
        <v>89.67</v>
      </c>
      <c r="E114" s="87">
        <v>44.91</v>
      </c>
      <c r="F114" s="37">
        <v>38.17</v>
      </c>
      <c r="G114" s="87">
        <v>30.33</v>
      </c>
      <c r="H114" s="87">
        <v>3886.43</v>
      </c>
      <c r="I114" s="92">
        <v>272.27</v>
      </c>
      <c r="J114" s="87">
        <v>1344</v>
      </c>
      <c r="K114" s="87">
        <v>40.770000000000003</v>
      </c>
      <c r="L114" s="87">
        <v>313.67</v>
      </c>
      <c r="N114" s="33">
        <v>5000</v>
      </c>
      <c r="O114" s="5" t="s">
        <v>389</v>
      </c>
    </row>
    <row r="115" spans="1:15" ht="13.15" customHeight="1" x14ac:dyDescent="0.25">
      <c r="A115" s="86">
        <v>22002</v>
      </c>
      <c r="B115" s="36" t="s">
        <v>545</v>
      </c>
      <c r="C115" s="87">
        <v>1129.07</v>
      </c>
      <c r="D115" s="88">
        <v>2520</v>
      </c>
      <c r="E115" s="87">
        <v>1456</v>
      </c>
      <c r="F115" s="37">
        <v>940.8</v>
      </c>
      <c r="G115" s="87">
        <v>873.71</v>
      </c>
      <c r="H115" s="87">
        <v>78411.199999999997</v>
      </c>
      <c r="I115" s="92">
        <v>10192</v>
      </c>
      <c r="J115" s="87">
        <v>36400</v>
      </c>
      <c r="K115" s="87">
        <v>1416.8</v>
      </c>
      <c r="L115" s="87">
        <v>9296</v>
      </c>
      <c r="N115" s="33">
        <v>250</v>
      </c>
      <c r="O115" s="5" t="s">
        <v>546</v>
      </c>
    </row>
    <row r="116" spans="1:15" ht="13.15" customHeight="1" x14ac:dyDescent="0.25">
      <c r="A116" s="86">
        <v>22003</v>
      </c>
      <c r="B116" s="36" t="s">
        <v>547</v>
      </c>
      <c r="C116" s="87">
        <v>3456.31</v>
      </c>
      <c r="D116" s="88">
        <v>6950.36</v>
      </c>
      <c r="E116" s="87">
        <v>4603.2</v>
      </c>
      <c r="F116" s="37">
        <v>2553.6</v>
      </c>
      <c r="G116" s="87">
        <v>2472.62</v>
      </c>
      <c r="H116" s="87">
        <v>264051.20000000001</v>
      </c>
      <c r="I116" s="92">
        <v>14799.98</v>
      </c>
      <c r="J116" s="87">
        <v>115075.52</v>
      </c>
      <c r="K116" s="87">
        <v>3684.8</v>
      </c>
      <c r="L116" s="87">
        <v>29176</v>
      </c>
      <c r="N116" s="33">
        <v>200</v>
      </c>
      <c r="O116" s="5" t="s">
        <v>546</v>
      </c>
    </row>
    <row r="117" spans="1:15" ht="13.15" customHeight="1" x14ac:dyDescent="0.25">
      <c r="A117" s="86">
        <v>22004</v>
      </c>
      <c r="B117" s="36" t="s">
        <v>548</v>
      </c>
      <c r="C117" s="87">
        <v>4705.95</v>
      </c>
      <c r="D117" s="88">
        <v>9755.17</v>
      </c>
      <c r="E117" s="87">
        <v>6605.92</v>
      </c>
      <c r="F117" s="37">
        <v>3572.8</v>
      </c>
      <c r="G117" s="87">
        <v>3449.12</v>
      </c>
      <c r="H117" s="87">
        <v>395920</v>
      </c>
      <c r="I117" s="92">
        <v>20803.13</v>
      </c>
      <c r="J117" s="87">
        <v>168246.39999999999</v>
      </c>
      <c r="K117" s="87">
        <v>5600.54</v>
      </c>
      <c r="L117" s="87">
        <v>38080.53</v>
      </c>
      <c r="N117" s="33">
        <v>200</v>
      </c>
      <c r="O117" s="5" t="s">
        <v>546</v>
      </c>
    </row>
    <row r="118" spans="1:15" ht="13.15" customHeight="1" x14ac:dyDescent="0.25">
      <c r="A118" s="86">
        <v>22005</v>
      </c>
      <c r="B118" s="36" t="s">
        <v>549</v>
      </c>
      <c r="C118" s="87">
        <v>483.28</v>
      </c>
      <c r="D118" s="88">
        <v>1600.03</v>
      </c>
      <c r="E118" s="87">
        <v>782.89</v>
      </c>
      <c r="F118" s="37">
        <v>369.24</v>
      </c>
      <c r="G118" s="87">
        <v>456.97</v>
      </c>
      <c r="H118" s="87">
        <v>27777.119999999999</v>
      </c>
      <c r="I118" s="92">
        <v>5822.96</v>
      </c>
      <c r="J118" s="87">
        <v>18928</v>
      </c>
      <c r="K118" s="87">
        <v>695.41</v>
      </c>
      <c r="L118" s="87">
        <v>4504.6400000000003</v>
      </c>
      <c r="N118" s="33">
        <v>500</v>
      </c>
      <c r="O118" s="5" t="s">
        <v>546</v>
      </c>
    </row>
    <row r="119" spans="1:15" ht="13.15" customHeight="1" x14ac:dyDescent="0.25">
      <c r="A119" s="86">
        <v>22006</v>
      </c>
      <c r="B119" s="36" t="s">
        <v>550</v>
      </c>
      <c r="C119" s="87">
        <v>1400</v>
      </c>
      <c r="D119" s="88">
        <v>2598.4</v>
      </c>
      <c r="E119" s="87">
        <v>2268</v>
      </c>
      <c r="F119" s="37">
        <v>1052.8</v>
      </c>
      <c r="G119" s="87">
        <v>1051.9000000000001</v>
      </c>
      <c r="H119" s="87">
        <v>98560</v>
      </c>
      <c r="I119" s="92">
        <v>9520</v>
      </c>
      <c r="J119" s="87">
        <v>47600.3</v>
      </c>
      <c r="K119" s="87">
        <v>1624</v>
      </c>
      <c r="L119" s="87">
        <v>10528</v>
      </c>
      <c r="N119" s="33">
        <v>200</v>
      </c>
      <c r="O119" s="5" t="s">
        <v>546</v>
      </c>
    </row>
    <row r="120" spans="1:15" ht="13.15" customHeight="1" x14ac:dyDescent="0.25">
      <c r="A120" s="86">
        <v>22007</v>
      </c>
      <c r="B120" s="36" t="s">
        <v>551</v>
      </c>
      <c r="C120" s="87">
        <v>1456</v>
      </c>
      <c r="D120" s="88">
        <v>2956.8</v>
      </c>
      <c r="E120" s="87">
        <v>2239.9899999999998</v>
      </c>
      <c r="F120" s="37">
        <v>1036</v>
      </c>
      <c r="G120" s="87">
        <v>996.8</v>
      </c>
      <c r="H120" s="87">
        <v>99792</v>
      </c>
      <c r="I120" s="92">
        <v>9508</v>
      </c>
      <c r="J120" s="87">
        <v>48272</v>
      </c>
      <c r="K120" s="87">
        <v>1797.6</v>
      </c>
      <c r="L120" s="87">
        <v>12308.8</v>
      </c>
      <c r="N120" s="33">
        <v>150</v>
      </c>
      <c r="O120" s="5" t="s">
        <v>546</v>
      </c>
    </row>
    <row r="121" spans="1:15" ht="13.15" customHeight="1" x14ac:dyDescent="0.25">
      <c r="A121" s="86">
        <v>22008</v>
      </c>
      <c r="B121" s="36" t="s">
        <v>552</v>
      </c>
      <c r="C121" s="87">
        <v>1505.28</v>
      </c>
      <c r="D121" s="88">
        <v>2956.8</v>
      </c>
      <c r="E121" s="87">
        <v>2228.8000000000002</v>
      </c>
      <c r="F121" s="37">
        <v>1058.4000000000001</v>
      </c>
      <c r="G121" s="87">
        <v>1143.26</v>
      </c>
      <c r="H121" s="87">
        <v>114128</v>
      </c>
      <c r="I121" s="92">
        <v>9520</v>
      </c>
      <c r="J121" s="87">
        <v>52304</v>
      </c>
      <c r="K121" s="87">
        <v>1691.73</v>
      </c>
      <c r="L121" s="87">
        <v>11648</v>
      </c>
      <c r="N121" s="33">
        <v>150</v>
      </c>
      <c r="O121" s="5" t="s">
        <v>546</v>
      </c>
    </row>
    <row r="122" spans="1:15" ht="13.15" customHeight="1" x14ac:dyDescent="0.25">
      <c r="A122" s="86">
        <v>22009</v>
      </c>
      <c r="B122" s="36" t="s">
        <v>553</v>
      </c>
      <c r="C122" s="87">
        <v>17781.52</v>
      </c>
      <c r="D122" s="88">
        <v>21235.200000000001</v>
      </c>
      <c r="E122" s="87">
        <v>11020.4</v>
      </c>
      <c r="F122" s="37">
        <v>8572.48</v>
      </c>
      <c r="G122" s="87">
        <v>7004.48</v>
      </c>
      <c r="H122" s="87">
        <v>946935.36</v>
      </c>
      <c r="I122" s="92">
        <v>74312</v>
      </c>
      <c r="J122" s="87">
        <v>336948.64</v>
      </c>
      <c r="K122" s="87">
        <v>11048.8</v>
      </c>
      <c r="L122" s="87">
        <v>86188.479999999996</v>
      </c>
      <c r="N122" s="33">
        <v>25</v>
      </c>
      <c r="O122" s="5" t="s">
        <v>546</v>
      </c>
    </row>
    <row r="123" spans="1:15" ht="13.15" customHeight="1" x14ac:dyDescent="0.25">
      <c r="A123" s="86">
        <v>23001</v>
      </c>
      <c r="B123" s="36" t="s">
        <v>554</v>
      </c>
      <c r="C123" s="87">
        <v>809.17</v>
      </c>
      <c r="D123" s="88">
        <v>1590.4</v>
      </c>
      <c r="E123" s="87">
        <v>859.99</v>
      </c>
      <c r="F123" s="37">
        <v>655.20000000000005</v>
      </c>
      <c r="G123" s="87">
        <v>521.74</v>
      </c>
      <c r="H123" s="87">
        <v>70001.789999999994</v>
      </c>
      <c r="I123" s="92">
        <v>6119.19</v>
      </c>
      <c r="J123" s="87">
        <v>24136</v>
      </c>
      <c r="K123" s="87">
        <v>806.64</v>
      </c>
      <c r="L123" s="87">
        <v>6188.56</v>
      </c>
      <c r="N123" s="33">
        <v>350</v>
      </c>
      <c r="O123" s="5" t="s">
        <v>546</v>
      </c>
    </row>
    <row r="124" spans="1:15" ht="13.15" customHeight="1" x14ac:dyDescent="0.25">
      <c r="A124" s="86">
        <v>23002</v>
      </c>
      <c r="B124" s="36" t="s">
        <v>555</v>
      </c>
      <c r="C124" s="87">
        <v>32.479999999999997</v>
      </c>
      <c r="D124" s="88">
        <v>112</v>
      </c>
      <c r="E124" s="87">
        <v>37.18</v>
      </c>
      <c r="F124" s="37">
        <v>24.99</v>
      </c>
      <c r="G124" s="87">
        <v>22.96</v>
      </c>
      <c r="H124" s="87">
        <v>2912.3</v>
      </c>
      <c r="I124" s="92">
        <v>235.87</v>
      </c>
      <c r="J124" s="87">
        <v>1086.92</v>
      </c>
      <c r="K124" s="87">
        <v>33.6</v>
      </c>
      <c r="L124" s="87">
        <v>274.39999999999998</v>
      </c>
      <c r="N124" s="33">
        <v>10000</v>
      </c>
      <c r="O124" s="5" t="s">
        <v>402</v>
      </c>
    </row>
    <row r="125" spans="1:15" ht="13.15" customHeight="1" x14ac:dyDescent="0.25">
      <c r="A125" s="86">
        <v>23003</v>
      </c>
      <c r="B125" s="36" t="s">
        <v>556</v>
      </c>
      <c r="C125" s="87">
        <v>23.74</v>
      </c>
      <c r="D125" s="88">
        <v>112</v>
      </c>
      <c r="E125" s="87">
        <v>24.64</v>
      </c>
      <c r="F125" s="37">
        <v>16.239999999999998</v>
      </c>
      <c r="G125" s="87">
        <v>15.9</v>
      </c>
      <c r="H125" s="87">
        <v>2016</v>
      </c>
      <c r="I125" s="92">
        <v>160.72</v>
      </c>
      <c r="J125" s="87">
        <v>728.34</v>
      </c>
      <c r="K125" s="87">
        <v>23.78</v>
      </c>
      <c r="L125" s="87">
        <v>168.57</v>
      </c>
      <c r="N125" s="33">
        <v>10000</v>
      </c>
      <c r="O125" s="5" t="s">
        <v>402</v>
      </c>
    </row>
    <row r="126" spans="1:15" ht="13.15" customHeight="1" x14ac:dyDescent="0.25">
      <c r="A126" s="86">
        <v>23004</v>
      </c>
      <c r="B126" s="36" t="s">
        <v>557</v>
      </c>
      <c r="C126" s="87">
        <v>15.34</v>
      </c>
      <c r="D126" s="88">
        <v>113.01</v>
      </c>
      <c r="E126" s="87">
        <v>15.69</v>
      </c>
      <c r="F126" s="37">
        <v>11.82</v>
      </c>
      <c r="G126" s="87">
        <v>9.4600000000000009</v>
      </c>
      <c r="H126" s="87">
        <v>1350.72</v>
      </c>
      <c r="I126" s="92">
        <v>102.63</v>
      </c>
      <c r="J126" s="87">
        <v>448</v>
      </c>
      <c r="K126" s="87">
        <v>16.11</v>
      </c>
      <c r="L126" s="87">
        <v>117.6</v>
      </c>
      <c r="N126" s="33">
        <v>15000</v>
      </c>
      <c r="O126" s="5" t="s">
        <v>402</v>
      </c>
    </row>
    <row r="127" spans="1:15" ht="13.15" customHeight="1" x14ac:dyDescent="0.25">
      <c r="A127" s="86">
        <v>23005</v>
      </c>
      <c r="B127" s="36" t="s">
        <v>558</v>
      </c>
      <c r="C127" s="87">
        <v>372.06</v>
      </c>
      <c r="D127" s="88">
        <v>1049.9100000000001</v>
      </c>
      <c r="E127" s="87">
        <v>369.85</v>
      </c>
      <c r="F127" s="37">
        <v>287.35000000000002</v>
      </c>
      <c r="G127" s="87">
        <v>226.07</v>
      </c>
      <c r="H127" s="87">
        <v>39334.85</v>
      </c>
      <c r="I127" s="92">
        <v>3052.34</v>
      </c>
      <c r="J127" s="87">
        <v>10983.66</v>
      </c>
      <c r="K127" s="87">
        <v>391.83</v>
      </c>
      <c r="L127" s="87">
        <v>2800.67</v>
      </c>
      <c r="N127" s="33">
        <v>500</v>
      </c>
      <c r="O127" s="5" t="s">
        <v>546</v>
      </c>
    </row>
    <row r="128" spans="1:15" ht="13.15" customHeight="1" x14ac:dyDescent="0.25">
      <c r="A128" s="86">
        <v>23006</v>
      </c>
      <c r="B128" s="36" t="s">
        <v>559</v>
      </c>
      <c r="C128" s="87">
        <v>1146.49</v>
      </c>
      <c r="D128" s="88">
        <v>1736.53</v>
      </c>
      <c r="E128" s="87">
        <v>889.28</v>
      </c>
      <c r="F128" s="37">
        <v>694.62</v>
      </c>
      <c r="G128" s="87">
        <v>558.24</v>
      </c>
      <c r="H128" s="87">
        <v>71344</v>
      </c>
      <c r="I128" s="92">
        <v>5672.8</v>
      </c>
      <c r="J128" s="87">
        <v>28448</v>
      </c>
      <c r="K128" s="87">
        <v>906.63</v>
      </c>
      <c r="L128" s="87">
        <v>6832.59</v>
      </c>
      <c r="N128" s="33">
        <v>300</v>
      </c>
      <c r="O128" s="5" t="s">
        <v>546</v>
      </c>
    </row>
    <row r="129" spans="1:15" ht="13.15" customHeight="1" x14ac:dyDescent="0.25">
      <c r="A129" s="86">
        <v>23007</v>
      </c>
      <c r="B129" s="36" t="s">
        <v>560</v>
      </c>
      <c r="C129" s="87">
        <v>4142.12</v>
      </c>
      <c r="D129" s="88">
        <v>2055.85</v>
      </c>
      <c r="E129" s="87">
        <v>1118.32</v>
      </c>
      <c r="F129" s="37">
        <v>840</v>
      </c>
      <c r="G129" s="87">
        <v>661.07</v>
      </c>
      <c r="H129" s="87">
        <v>84000</v>
      </c>
      <c r="I129" s="92">
        <v>6939</v>
      </c>
      <c r="J129" s="87">
        <v>32256.85</v>
      </c>
      <c r="K129" s="87">
        <v>1087.04</v>
      </c>
      <c r="L129" s="87">
        <v>8478.4</v>
      </c>
      <c r="N129" s="33">
        <v>300</v>
      </c>
      <c r="O129" s="5" t="s">
        <v>546</v>
      </c>
    </row>
    <row r="130" spans="1:15" ht="13.15" customHeight="1" x14ac:dyDescent="0.25">
      <c r="A130" s="86">
        <v>23008</v>
      </c>
      <c r="B130" s="36" t="s">
        <v>561</v>
      </c>
      <c r="C130" s="87">
        <v>1105.8399999999999</v>
      </c>
      <c r="D130" s="88">
        <v>683.2</v>
      </c>
      <c r="E130" s="87">
        <v>383.9</v>
      </c>
      <c r="F130" s="37">
        <v>305.22000000000003</v>
      </c>
      <c r="G130" s="87">
        <v>243.59</v>
      </c>
      <c r="H130" s="87">
        <v>29119.48</v>
      </c>
      <c r="I130" s="92">
        <v>2352</v>
      </c>
      <c r="J130" s="87">
        <v>11760</v>
      </c>
      <c r="K130" s="87">
        <v>397.6</v>
      </c>
      <c r="L130" s="87">
        <v>2912.84</v>
      </c>
      <c r="N130" s="33">
        <v>500</v>
      </c>
      <c r="O130" s="5" t="s">
        <v>546</v>
      </c>
    </row>
    <row r="131" spans="1:15" ht="13.15" customHeight="1" x14ac:dyDescent="0.25">
      <c r="A131" s="86">
        <v>23009</v>
      </c>
      <c r="B131" s="36" t="s">
        <v>562</v>
      </c>
      <c r="C131" s="87">
        <v>3102.4</v>
      </c>
      <c r="D131" s="88">
        <v>6120.8</v>
      </c>
      <c r="E131" s="87">
        <v>3080</v>
      </c>
      <c r="F131" s="37">
        <v>2241.12</v>
      </c>
      <c r="G131" s="87">
        <v>1915.2</v>
      </c>
      <c r="H131" s="87">
        <v>267680</v>
      </c>
      <c r="I131" s="92">
        <v>21291.200000000001</v>
      </c>
      <c r="J131" s="87">
        <v>73846.3</v>
      </c>
      <c r="K131" s="87">
        <v>3195.36</v>
      </c>
      <c r="L131" s="87">
        <v>25177.599999999999</v>
      </c>
      <c r="N131" s="33">
        <v>150</v>
      </c>
      <c r="O131" s="5" t="s">
        <v>546</v>
      </c>
    </row>
    <row r="132" spans="1:15" ht="13.15" customHeight="1" x14ac:dyDescent="0.25">
      <c r="A132" s="86">
        <v>23010</v>
      </c>
      <c r="B132" s="36" t="s">
        <v>563</v>
      </c>
      <c r="C132" s="87">
        <v>1450.4</v>
      </c>
      <c r="D132" s="88">
        <v>2464</v>
      </c>
      <c r="E132" s="87">
        <v>1645.26</v>
      </c>
      <c r="F132" s="37">
        <v>1156.08</v>
      </c>
      <c r="G132" s="87">
        <v>984.26</v>
      </c>
      <c r="H132" s="87">
        <v>130828.66</v>
      </c>
      <c r="I132" s="92">
        <v>10849.78</v>
      </c>
      <c r="J132" s="87">
        <v>47265.32</v>
      </c>
      <c r="K132" s="87">
        <v>1586.8</v>
      </c>
      <c r="L132" s="87">
        <v>12096</v>
      </c>
      <c r="N132" s="33">
        <v>500</v>
      </c>
      <c r="O132" s="5" t="s">
        <v>546</v>
      </c>
    </row>
    <row r="133" spans="1:15" ht="13.15" customHeight="1" x14ac:dyDescent="0.25">
      <c r="A133" s="86">
        <v>23011</v>
      </c>
      <c r="B133" s="36" t="s">
        <v>564</v>
      </c>
      <c r="C133" s="87">
        <v>48.72</v>
      </c>
      <c r="D133" s="88">
        <v>96.88</v>
      </c>
      <c r="E133" s="87">
        <v>52.64</v>
      </c>
      <c r="F133" s="37">
        <v>38.08</v>
      </c>
      <c r="G133" s="87">
        <v>31.25</v>
      </c>
      <c r="H133" s="87">
        <v>4704</v>
      </c>
      <c r="I133" s="92">
        <v>312.48</v>
      </c>
      <c r="J133" s="87">
        <v>1500.8</v>
      </c>
      <c r="K133" s="87">
        <v>50.4</v>
      </c>
      <c r="L133" s="87">
        <v>403.2</v>
      </c>
      <c r="N133" s="33">
        <v>7000</v>
      </c>
      <c r="O133" s="5" t="s">
        <v>402</v>
      </c>
    </row>
    <row r="134" spans="1:15" ht="13.15" customHeight="1" x14ac:dyDescent="0.25">
      <c r="A134" s="86">
        <v>24001</v>
      </c>
      <c r="B134" s="36" t="s">
        <v>565</v>
      </c>
      <c r="C134" s="87">
        <v>604.79999999999995</v>
      </c>
      <c r="D134" s="88">
        <v>1323.22</v>
      </c>
      <c r="E134" s="87">
        <v>253.57</v>
      </c>
      <c r="F134" s="37">
        <v>460.88</v>
      </c>
      <c r="G134" s="87">
        <v>402.08</v>
      </c>
      <c r="H134" s="87">
        <v>56212.800000000003</v>
      </c>
      <c r="I134" s="92">
        <v>4384.8</v>
      </c>
      <c r="J134" s="87">
        <v>17942.919999999998</v>
      </c>
      <c r="K134" s="87">
        <v>674.8</v>
      </c>
      <c r="L134" s="87">
        <v>5040</v>
      </c>
      <c r="N134" s="33">
        <v>1000</v>
      </c>
      <c r="O134" s="5" t="s">
        <v>369</v>
      </c>
    </row>
    <row r="135" spans="1:15" ht="13.15" customHeight="1" x14ac:dyDescent="0.25">
      <c r="A135" s="86">
        <v>24002</v>
      </c>
      <c r="B135" s="36" t="s">
        <v>566</v>
      </c>
      <c r="C135" s="87">
        <v>910.56</v>
      </c>
      <c r="D135" s="88">
        <v>1792</v>
      </c>
      <c r="E135" s="87">
        <v>234.27</v>
      </c>
      <c r="F135" s="37">
        <v>674.23</v>
      </c>
      <c r="G135" s="87">
        <v>592.48</v>
      </c>
      <c r="H135" s="87">
        <v>79480.800000000003</v>
      </c>
      <c r="I135" s="92">
        <v>6328</v>
      </c>
      <c r="J135" s="87">
        <v>28896</v>
      </c>
      <c r="K135" s="87">
        <v>952</v>
      </c>
      <c r="L135" s="87">
        <v>7615.34</v>
      </c>
      <c r="N135" s="33">
        <v>500</v>
      </c>
      <c r="O135" s="5" t="s">
        <v>369</v>
      </c>
    </row>
    <row r="136" spans="1:15" ht="13.15" customHeight="1" x14ac:dyDescent="0.25">
      <c r="A136" s="86">
        <v>24003</v>
      </c>
      <c r="B136" s="36" t="s">
        <v>567</v>
      </c>
      <c r="C136" s="87">
        <v>817.6</v>
      </c>
      <c r="D136" s="88">
        <v>1576.37</v>
      </c>
      <c r="E136" s="87">
        <v>264.33</v>
      </c>
      <c r="F136" s="37">
        <v>648.61</v>
      </c>
      <c r="G136" s="87">
        <v>537.9</v>
      </c>
      <c r="H136" s="87">
        <v>73264.800000000003</v>
      </c>
      <c r="I136" s="92">
        <v>5695.2</v>
      </c>
      <c r="J136" s="87">
        <v>25200</v>
      </c>
      <c r="K136" s="87">
        <v>846.72</v>
      </c>
      <c r="L136" s="87">
        <v>6406.4</v>
      </c>
      <c r="N136" s="33">
        <v>500</v>
      </c>
      <c r="O136" s="5" t="s">
        <v>369</v>
      </c>
    </row>
    <row r="137" spans="1:15" ht="13.15" customHeight="1" x14ac:dyDescent="0.25">
      <c r="A137" s="86">
        <v>24004</v>
      </c>
      <c r="B137" s="36" t="s">
        <v>568</v>
      </c>
      <c r="C137" s="87">
        <v>609.91999999999996</v>
      </c>
      <c r="D137" s="88">
        <v>1234.6300000000001</v>
      </c>
      <c r="E137" s="87">
        <v>268.8</v>
      </c>
      <c r="F137" s="37">
        <v>471.26</v>
      </c>
      <c r="G137" s="87">
        <v>426.16</v>
      </c>
      <c r="H137" s="87">
        <v>57031.39</v>
      </c>
      <c r="I137" s="92">
        <v>4565.12</v>
      </c>
      <c r="J137" s="87">
        <v>19040</v>
      </c>
      <c r="K137" s="87">
        <v>672.56</v>
      </c>
      <c r="L137" s="87">
        <v>5185.6000000000004</v>
      </c>
      <c r="N137" s="33">
        <v>3000</v>
      </c>
      <c r="O137" s="5" t="s">
        <v>369</v>
      </c>
    </row>
    <row r="138" spans="1:15" ht="13.15" customHeight="1" x14ac:dyDescent="0.25">
      <c r="A138" s="86">
        <v>25001</v>
      </c>
      <c r="B138" s="36" t="s">
        <v>569</v>
      </c>
      <c r="C138" s="87">
        <v>207.92</v>
      </c>
      <c r="D138" s="88">
        <v>400.96</v>
      </c>
      <c r="E138" s="89">
        <v>212.8</v>
      </c>
      <c r="F138" s="90">
        <v>136.63999999999999</v>
      </c>
      <c r="G138" s="94">
        <v>122.53</v>
      </c>
      <c r="H138" s="91">
        <v>17584</v>
      </c>
      <c r="I138" s="93">
        <v>1265.5999999999999</v>
      </c>
      <c r="J138" s="87">
        <v>6059.2</v>
      </c>
      <c r="K138" s="89">
        <v>226.15</v>
      </c>
      <c r="L138" s="89">
        <v>1568</v>
      </c>
      <c r="N138" s="33">
        <v>150</v>
      </c>
      <c r="O138" s="5" t="s">
        <v>412</v>
      </c>
    </row>
    <row r="139" spans="1:15" ht="13.15" customHeight="1" x14ac:dyDescent="0.25">
      <c r="A139" s="86">
        <v>25002</v>
      </c>
      <c r="B139" s="36" t="s">
        <v>570</v>
      </c>
      <c r="C139" s="87">
        <v>312.13</v>
      </c>
      <c r="D139" s="88">
        <v>588.27</v>
      </c>
      <c r="E139" s="89">
        <v>333.29</v>
      </c>
      <c r="F139" s="90">
        <v>224.87</v>
      </c>
      <c r="G139" s="94">
        <v>180.43</v>
      </c>
      <c r="H139" s="91">
        <v>28896.76</v>
      </c>
      <c r="I139" s="93">
        <v>2072</v>
      </c>
      <c r="J139" s="87">
        <v>10159.040000000001</v>
      </c>
      <c r="K139" s="89">
        <v>336.4</v>
      </c>
      <c r="L139" s="89">
        <v>2324</v>
      </c>
      <c r="N139" s="33">
        <v>500</v>
      </c>
      <c r="O139" s="5" t="s">
        <v>412</v>
      </c>
    </row>
    <row r="140" spans="1:15" ht="13.15" customHeight="1" x14ac:dyDescent="0.25">
      <c r="A140" s="86">
        <v>25003</v>
      </c>
      <c r="B140" s="36" t="s">
        <v>571</v>
      </c>
      <c r="C140" s="87">
        <v>45.02</v>
      </c>
      <c r="D140" s="88">
        <v>89.86</v>
      </c>
      <c r="E140" s="89">
        <v>45.36</v>
      </c>
      <c r="F140" s="90">
        <v>31.14</v>
      </c>
      <c r="G140" s="94">
        <v>28.95</v>
      </c>
      <c r="H140" s="91">
        <v>3360.12</v>
      </c>
      <c r="I140" s="93">
        <v>286.05</v>
      </c>
      <c r="J140" s="87">
        <v>1350.25</v>
      </c>
      <c r="K140" s="89">
        <v>45.36</v>
      </c>
      <c r="L140" s="89">
        <v>337.06</v>
      </c>
      <c r="N140" s="33">
        <v>3000</v>
      </c>
      <c r="O140" s="5" t="s">
        <v>412</v>
      </c>
    </row>
    <row r="141" spans="1:15" ht="13.15" customHeight="1" x14ac:dyDescent="0.25">
      <c r="A141" s="86">
        <v>25004</v>
      </c>
      <c r="B141" s="36" t="s">
        <v>572</v>
      </c>
      <c r="C141" s="87">
        <v>151.43</v>
      </c>
      <c r="D141" s="88">
        <v>280.31</v>
      </c>
      <c r="E141" s="89">
        <v>182</v>
      </c>
      <c r="F141" s="90">
        <v>114.02</v>
      </c>
      <c r="G141" s="94">
        <v>105.88</v>
      </c>
      <c r="H141" s="91">
        <v>11581.32</v>
      </c>
      <c r="I141" s="93">
        <v>1000.05</v>
      </c>
      <c r="J141" s="87">
        <v>5286.49</v>
      </c>
      <c r="K141" s="89">
        <v>171.6</v>
      </c>
      <c r="L141" s="89">
        <v>1052.97</v>
      </c>
      <c r="N141" s="33">
        <v>1250</v>
      </c>
      <c r="O141" s="5" t="s">
        <v>412</v>
      </c>
    </row>
    <row r="142" spans="1:15" ht="13.15" customHeight="1" x14ac:dyDescent="0.25">
      <c r="A142" s="86">
        <v>25005</v>
      </c>
      <c r="B142" s="36" t="s">
        <v>573</v>
      </c>
      <c r="C142" s="87">
        <v>386.56</v>
      </c>
      <c r="D142" s="88">
        <v>722.62</v>
      </c>
      <c r="E142" s="89">
        <v>375.2</v>
      </c>
      <c r="F142" s="90">
        <v>285.70999999999998</v>
      </c>
      <c r="G142" s="94">
        <v>234.51</v>
      </c>
      <c r="H142" s="91">
        <v>35784</v>
      </c>
      <c r="I142" s="93">
        <v>2268.2199999999998</v>
      </c>
      <c r="J142" s="87">
        <v>10864</v>
      </c>
      <c r="K142" s="89">
        <v>383.38</v>
      </c>
      <c r="L142" s="89">
        <v>2923.67</v>
      </c>
      <c r="N142" s="33">
        <v>500</v>
      </c>
      <c r="O142" s="5" t="s">
        <v>412</v>
      </c>
    </row>
    <row r="143" spans="1:15" ht="13.15" customHeight="1" x14ac:dyDescent="0.25">
      <c r="A143" s="86">
        <v>25006</v>
      </c>
      <c r="B143" s="36" t="s">
        <v>574</v>
      </c>
      <c r="C143" s="87">
        <v>1702.4</v>
      </c>
      <c r="D143" s="88">
        <v>3684.8</v>
      </c>
      <c r="E143" s="89">
        <v>1646.88</v>
      </c>
      <c r="F143" s="90">
        <v>1313.31</v>
      </c>
      <c r="G143" s="94">
        <v>1123.8800000000001</v>
      </c>
      <c r="H143" s="91">
        <v>140896.10999999999</v>
      </c>
      <c r="I143" s="93">
        <v>11060.78</v>
      </c>
      <c r="J143" s="87">
        <v>53860.800000000003</v>
      </c>
      <c r="K143" s="89">
        <v>1745.5</v>
      </c>
      <c r="L143" s="89">
        <v>13652.8</v>
      </c>
      <c r="N143" s="33">
        <v>125</v>
      </c>
      <c r="O143" s="5" t="s">
        <v>412</v>
      </c>
    </row>
    <row r="144" spans="1:15" ht="13.15" customHeight="1" x14ac:dyDescent="0.25">
      <c r="A144" s="86">
        <v>25007</v>
      </c>
      <c r="B144" s="36" t="s">
        <v>575</v>
      </c>
      <c r="C144" s="87">
        <v>359.27</v>
      </c>
      <c r="D144" s="88">
        <v>703.52</v>
      </c>
      <c r="E144" s="87">
        <v>353.45</v>
      </c>
      <c r="F144" s="37">
        <v>247.15</v>
      </c>
      <c r="G144" s="87">
        <v>213.52</v>
      </c>
      <c r="H144" s="87">
        <v>31360</v>
      </c>
      <c r="I144" s="92">
        <v>2255.69</v>
      </c>
      <c r="J144" s="87">
        <v>11200.53</v>
      </c>
      <c r="K144" s="87">
        <v>367.74</v>
      </c>
      <c r="L144" s="87">
        <v>2888.48</v>
      </c>
      <c r="N144" s="33">
        <v>500</v>
      </c>
      <c r="O144" s="5" t="s">
        <v>369</v>
      </c>
    </row>
    <row r="145" spans="1:15" ht="13.15" customHeight="1" x14ac:dyDescent="0.25">
      <c r="A145" s="86">
        <v>25008</v>
      </c>
      <c r="B145" s="36" t="s">
        <v>576</v>
      </c>
      <c r="C145" s="87">
        <v>67.94</v>
      </c>
      <c r="D145" s="88">
        <v>115.94</v>
      </c>
      <c r="E145" s="87">
        <v>73.150000000000006</v>
      </c>
      <c r="F145" s="37">
        <v>56.04</v>
      </c>
      <c r="G145" s="87">
        <v>46.14</v>
      </c>
      <c r="H145" s="87">
        <v>6062.81</v>
      </c>
      <c r="I145" s="92">
        <v>448.9</v>
      </c>
      <c r="J145" s="87">
        <v>2077.84</v>
      </c>
      <c r="K145" s="87">
        <v>71.92</v>
      </c>
      <c r="L145" s="87">
        <v>560.77</v>
      </c>
      <c r="N145" s="33">
        <v>500</v>
      </c>
      <c r="O145" s="5" t="s">
        <v>369</v>
      </c>
    </row>
    <row r="146" spans="1:15" ht="13.15" customHeight="1" x14ac:dyDescent="0.25">
      <c r="A146" s="86">
        <v>25009</v>
      </c>
      <c r="B146" s="36" t="s">
        <v>577</v>
      </c>
      <c r="C146" s="87">
        <v>39.61</v>
      </c>
      <c r="D146" s="88">
        <v>75.38</v>
      </c>
      <c r="E146" s="87">
        <v>38.32</v>
      </c>
      <c r="F146" s="37">
        <v>27.5</v>
      </c>
      <c r="G146" s="87">
        <v>24.26</v>
      </c>
      <c r="H146" s="87">
        <v>3256.47</v>
      </c>
      <c r="I146" s="92">
        <v>226.12</v>
      </c>
      <c r="J146" s="87">
        <v>1065.58</v>
      </c>
      <c r="K146" s="87">
        <v>38.32</v>
      </c>
      <c r="L146" s="87">
        <v>310.45</v>
      </c>
      <c r="N146" s="33">
        <v>2000</v>
      </c>
      <c r="O146" s="5" t="s">
        <v>412</v>
      </c>
    </row>
    <row r="147" spans="1:15" ht="13.15" customHeight="1" x14ac:dyDescent="0.25">
      <c r="A147" s="86">
        <v>25010</v>
      </c>
      <c r="B147" s="36" t="s">
        <v>578</v>
      </c>
      <c r="C147" s="87">
        <v>56.85</v>
      </c>
      <c r="D147" s="88">
        <v>114.24</v>
      </c>
      <c r="E147" s="87">
        <v>58.86</v>
      </c>
      <c r="F147" s="37">
        <v>41.75</v>
      </c>
      <c r="G147" s="87">
        <v>34.17</v>
      </c>
      <c r="H147" s="87">
        <v>27821.58</v>
      </c>
      <c r="I147" s="92">
        <v>347.69</v>
      </c>
      <c r="J147" s="87">
        <v>1813.46</v>
      </c>
      <c r="K147" s="87">
        <v>62.96</v>
      </c>
      <c r="L147" s="87">
        <v>454.28</v>
      </c>
      <c r="N147" s="33">
        <v>600</v>
      </c>
      <c r="O147" s="5" t="s">
        <v>412</v>
      </c>
    </row>
    <row r="148" spans="1:15" ht="13.15" customHeight="1" x14ac:dyDescent="0.25">
      <c r="A148" s="86">
        <v>25011</v>
      </c>
      <c r="B148" s="36" t="s">
        <v>579</v>
      </c>
      <c r="C148" s="87">
        <v>447.48</v>
      </c>
      <c r="D148" s="88">
        <v>812.24</v>
      </c>
      <c r="E148" s="87">
        <v>446.28</v>
      </c>
      <c r="F148" s="37">
        <v>312.48</v>
      </c>
      <c r="G148" s="87">
        <v>266.56</v>
      </c>
      <c r="H148" s="87">
        <v>34496</v>
      </c>
      <c r="I148" s="92">
        <v>2744</v>
      </c>
      <c r="J148" s="87">
        <v>12656</v>
      </c>
      <c r="K148" s="87">
        <v>448</v>
      </c>
      <c r="L148" s="87">
        <v>3528</v>
      </c>
      <c r="N148" s="33">
        <v>500</v>
      </c>
      <c r="O148" s="5" t="s">
        <v>412</v>
      </c>
    </row>
    <row r="149" spans="1:15" ht="13.15" customHeight="1" x14ac:dyDescent="0.25">
      <c r="A149" s="86">
        <v>25012</v>
      </c>
      <c r="B149" s="36" t="s">
        <v>299</v>
      </c>
      <c r="C149" s="87">
        <v>3024</v>
      </c>
      <c r="D149" s="88">
        <v>5026.78</v>
      </c>
      <c r="E149" s="87">
        <v>3233.64</v>
      </c>
      <c r="F149" s="37">
        <v>2240.75</v>
      </c>
      <c r="G149" s="87">
        <v>1907.44</v>
      </c>
      <c r="H149" s="87">
        <v>232446.7</v>
      </c>
      <c r="I149" s="92">
        <v>20934.59</v>
      </c>
      <c r="J149" s="87">
        <v>98150.21</v>
      </c>
      <c r="K149" s="87">
        <v>290.83</v>
      </c>
      <c r="L149" s="87">
        <v>23477.360000000001</v>
      </c>
      <c r="N149" s="33">
        <v>600</v>
      </c>
      <c r="O149" s="5" t="s">
        <v>412</v>
      </c>
    </row>
    <row r="150" spans="1:15" ht="13.15" customHeight="1" x14ac:dyDescent="0.25">
      <c r="A150" s="86">
        <v>25013</v>
      </c>
      <c r="B150" s="36" t="s">
        <v>580</v>
      </c>
      <c r="C150" s="87">
        <v>165.76</v>
      </c>
      <c r="D150" s="88">
        <v>419.5</v>
      </c>
      <c r="E150" s="87">
        <v>165.76</v>
      </c>
      <c r="F150" s="37">
        <v>124.32</v>
      </c>
      <c r="G150" s="87">
        <v>106.4</v>
      </c>
      <c r="H150" s="87">
        <v>12980.8</v>
      </c>
      <c r="I150" s="92">
        <v>1064</v>
      </c>
      <c r="J150" s="87">
        <v>5040</v>
      </c>
      <c r="K150" s="87">
        <v>162.4</v>
      </c>
      <c r="L150" s="87">
        <v>1332.8</v>
      </c>
      <c r="N150" s="33">
        <v>1000</v>
      </c>
      <c r="O150" s="5" t="s">
        <v>412</v>
      </c>
    </row>
    <row r="151" spans="1:15" ht="13.15" customHeight="1" x14ac:dyDescent="0.25">
      <c r="A151" s="86">
        <v>25014</v>
      </c>
      <c r="B151" s="36" t="s">
        <v>581</v>
      </c>
      <c r="C151" s="87">
        <v>515.54</v>
      </c>
      <c r="D151" s="88">
        <v>1173.1600000000001</v>
      </c>
      <c r="E151" s="87">
        <v>475.22</v>
      </c>
      <c r="F151" s="37">
        <v>392</v>
      </c>
      <c r="G151" s="87">
        <v>327.71</v>
      </c>
      <c r="H151" s="87">
        <v>42560</v>
      </c>
      <c r="I151" s="92">
        <v>3455.76</v>
      </c>
      <c r="J151" s="87">
        <v>15792</v>
      </c>
      <c r="K151" s="87">
        <v>511.28</v>
      </c>
      <c r="L151" s="87">
        <v>3808</v>
      </c>
      <c r="N151" s="33">
        <v>400</v>
      </c>
      <c r="O151" s="5" t="s">
        <v>412</v>
      </c>
    </row>
    <row r="152" spans="1:15" ht="13.15" customHeight="1" x14ac:dyDescent="0.25">
      <c r="A152" s="86">
        <v>25015</v>
      </c>
      <c r="B152" s="36" t="s">
        <v>582</v>
      </c>
      <c r="C152" s="87">
        <v>1108.8</v>
      </c>
      <c r="D152" s="88">
        <v>2964.76</v>
      </c>
      <c r="E152" s="87">
        <v>1120</v>
      </c>
      <c r="F152" s="37">
        <v>807.02</v>
      </c>
      <c r="G152" s="87">
        <v>653.17999999999995</v>
      </c>
      <c r="H152" s="87">
        <v>89600</v>
      </c>
      <c r="I152" s="92">
        <v>7224.56</v>
      </c>
      <c r="J152" s="87">
        <v>32334.400000000001</v>
      </c>
      <c r="K152" s="87">
        <v>1008</v>
      </c>
      <c r="L152" s="87">
        <v>8624</v>
      </c>
      <c r="N152" s="33">
        <v>150</v>
      </c>
      <c r="O152" s="5" t="s">
        <v>412</v>
      </c>
    </row>
    <row r="153" spans="1:15" ht="13.15" customHeight="1" x14ac:dyDescent="0.25">
      <c r="A153" s="86">
        <v>25016</v>
      </c>
      <c r="B153" s="36" t="s">
        <v>583</v>
      </c>
      <c r="C153" s="87">
        <v>3024</v>
      </c>
      <c r="D153" s="88">
        <v>5656</v>
      </c>
      <c r="E153" s="87">
        <v>3080</v>
      </c>
      <c r="F153" s="37">
        <v>2298.2399999999998</v>
      </c>
      <c r="G153" s="87">
        <v>1904</v>
      </c>
      <c r="H153" s="87">
        <v>224000</v>
      </c>
      <c r="I153" s="92">
        <v>19040</v>
      </c>
      <c r="J153" s="87">
        <v>95200</v>
      </c>
      <c r="K153" s="87">
        <v>3136</v>
      </c>
      <c r="L153" s="87">
        <v>27098.85</v>
      </c>
      <c r="N153" s="33">
        <v>80</v>
      </c>
      <c r="O153" s="5" t="s">
        <v>412</v>
      </c>
    </row>
    <row r="154" spans="1:15" ht="13.15" customHeight="1" x14ac:dyDescent="0.25">
      <c r="A154" s="86">
        <v>25017</v>
      </c>
      <c r="B154" s="36" t="s">
        <v>584</v>
      </c>
      <c r="C154" s="87">
        <v>224</v>
      </c>
      <c r="D154" s="88">
        <v>448</v>
      </c>
      <c r="E154" s="87">
        <v>226.24</v>
      </c>
      <c r="F154" s="37">
        <v>168</v>
      </c>
      <c r="G154" s="87">
        <v>143.36000000000001</v>
      </c>
      <c r="H154" s="87">
        <v>19264</v>
      </c>
      <c r="I154" s="92">
        <v>1456</v>
      </c>
      <c r="J154" s="87">
        <v>7509.6</v>
      </c>
      <c r="K154" s="87">
        <v>255.36</v>
      </c>
      <c r="L154" s="87">
        <v>2408.09</v>
      </c>
      <c r="N154" s="33">
        <v>800</v>
      </c>
      <c r="O154" s="5" t="s">
        <v>412</v>
      </c>
    </row>
    <row r="155" spans="1:15" ht="13.15" customHeight="1" x14ac:dyDescent="0.25">
      <c r="A155" s="86">
        <v>25018</v>
      </c>
      <c r="B155" s="36" t="s">
        <v>585</v>
      </c>
      <c r="C155" s="87">
        <v>732.92</v>
      </c>
      <c r="D155" s="88">
        <v>609.28</v>
      </c>
      <c r="E155" s="87">
        <v>320.32</v>
      </c>
      <c r="F155" s="37">
        <v>220.64</v>
      </c>
      <c r="G155" s="87">
        <v>212.8</v>
      </c>
      <c r="H155" s="87">
        <v>24752</v>
      </c>
      <c r="I155" s="92">
        <v>2016</v>
      </c>
      <c r="J155" s="87">
        <v>10640</v>
      </c>
      <c r="K155" s="87">
        <v>337.12</v>
      </c>
      <c r="L155" s="87">
        <v>2486.4</v>
      </c>
      <c r="N155" s="33">
        <v>500</v>
      </c>
      <c r="O155" s="5" t="s">
        <v>369</v>
      </c>
    </row>
    <row r="156" spans="1:15" ht="13.15" customHeight="1" x14ac:dyDescent="0.25">
      <c r="A156" s="86">
        <v>25019</v>
      </c>
      <c r="B156" s="36" t="s">
        <v>586</v>
      </c>
      <c r="C156" s="87">
        <v>43.06</v>
      </c>
      <c r="D156" s="88">
        <v>87.39</v>
      </c>
      <c r="E156" s="87">
        <v>43.34</v>
      </c>
      <c r="F156" s="37">
        <v>33.07</v>
      </c>
      <c r="G156" s="87">
        <v>33.47</v>
      </c>
      <c r="H156" s="87">
        <v>3674.16</v>
      </c>
      <c r="I156" s="92">
        <v>300.16000000000003</v>
      </c>
      <c r="J156" s="87">
        <v>1590.96</v>
      </c>
      <c r="K156" s="87">
        <v>112</v>
      </c>
      <c r="L156" s="87">
        <v>380.8</v>
      </c>
      <c r="N156" s="33">
        <v>20000</v>
      </c>
      <c r="O156" s="5" t="s">
        <v>412</v>
      </c>
    </row>
    <row r="157" spans="1:15" ht="13.15" customHeight="1" x14ac:dyDescent="0.25">
      <c r="A157" s="86">
        <v>26001</v>
      </c>
      <c r="B157" s="36" t="s">
        <v>587</v>
      </c>
      <c r="C157" s="87">
        <v>502.87</v>
      </c>
      <c r="D157" s="88">
        <v>925.48</v>
      </c>
      <c r="E157" s="87">
        <v>538.97</v>
      </c>
      <c r="F157" s="37">
        <v>361.76</v>
      </c>
      <c r="G157" s="87">
        <v>324.82</v>
      </c>
      <c r="H157" s="87">
        <v>40320.720000000001</v>
      </c>
      <c r="I157" s="92">
        <v>3102.51</v>
      </c>
      <c r="J157" s="87">
        <v>14583.91</v>
      </c>
      <c r="K157" s="87">
        <v>539</v>
      </c>
      <c r="L157" s="87">
        <v>3927.84</v>
      </c>
      <c r="N157" s="33">
        <v>360</v>
      </c>
      <c r="O157" s="5" t="s">
        <v>409</v>
      </c>
    </row>
    <row r="158" spans="1:15" ht="13.15" customHeight="1" x14ac:dyDescent="0.25">
      <c r="A158" s="86">
        <v>26002</v>
      </c>
      <c r="B158" s="36" t="s">
        <v>588</v>
      </c>
      <c r="C158" s="87">
        <v>62.72</v>
      </c>
      <c r="D158" s="88">
        <v>113.12</v>
      </c>
      <c r="E158" s="87">
        <v>66.64</v>
      </c>
      <c r="F158" s="37">
        <v>44.96</v>
      </c>
      <c r="G158" s="87">
        <v>62.27</v>
      </c>
      <c r="H158" s="87">
        <v>5162.08</v>
      </c>
      <c r="I158" s="92">
        <v>392.56</v>
      </c>
      <c r="J158" s="87">
        <v>1795.49</v>
      </c>
      <c r="K158" s="87">
        <v>64.959999999999994</v>
      </c>
      <c r="L158" s="87">
        <v>492.8</v>
      </c>
      <c r="N158" s="33">
        <v>3000</v>
      </c>
      <c r="O158" s="5" t="s">
        <v>412</v>
      </c>
    </row>
    <row r="159" spans="1:15" ht="13.15" customHeight="1" x14ac:dyDescent="0.25">
      <c r="A159" s="86">
        <v>26003</v>
      </c>
      <c r="B159" s="36" t="s">
        <v>589</v>
      </c>
      <c r="C159" s="87">
        <v>672.38</v>
      </c>
      <c r="D159" s="88">
        <v>1296.96</v>
      </c>
      <c r="E159" s="87">
        <v>1017.52</v>
      </c>
      <c r="F159" s="37">
        <v>470.29</v>
      </c>
      <c r="G159" s="87">
        <v>484.4</v>
      </c>
      <c r="H159" s="87">
        <v>48002.6</v>
      </c>
      <c r="I159" s="92">
        <v>4368.22</v>
      </c>
      <c r="J159" s="87">
        <v>21954.720000000001</v>
      </c>
      <c r="K159" s="87">
        <v>789.6</v>
      </c>
      <c r="L159" s="87">
        <v>5152</v>
      </c>
      <c r="N159" s="33">
        <v>300</v>
      </c>
      <c r="O159" s="5" t="s">
        <v>412</v>
      </c>
    </row>
    <row r="160" spans="1:15" ht="13.15" customHeight="1" x14ac:dyDescent="0.25">
      <c r="A160" s="86">
        <v>26004</v>
      </c>
      <c r="B160" s="36" t="s">
        <v>590</v>
      </c>
      <c r="C160" s="87">
        <v>256.48</v>
      </c>
      <c r="D160" s="88">
        <v>498.89</v>
      </c>
      <c r="E160" s="87">
        <v>235.36</v>
      </c>
      <c r="F160" s="37">
        <v>188.16</v>
      </c>
      <c r="G160" s="87">
        <v>163.38999999999999</v>
      </c>
      <c r="H160" s="87">
        <v>22288</v>
      </c>
      <c r="I160" s="92">
        <v>1579.2</v>
      </c>
      <c r="J160" s="87">
        <v>8008</v>
      </c>
      <c r="K160" s="87">
        <v>271.04000000000002</v>
      </c>
      <c r="L160" s="87">
        <v>2142.56</v>
      </c>
      <c r="N160" s="33">
        <v>4000</v>
      </c>
      <c r="O160" s="5" t="s">
        <v>412</v>
      </c>
    </row>
    <row r="161" spans="1:15" ht="13.15" customHeight="1" x14ac:dyDescent="0.25">
      <c r="A161" s="86">
        <v>26005</v>
      </c>
      <c r="B161" s="36" t="s">
        <v>591</v>
      </c>
      <c r="C161" s="87">
        <v>67.98</v>
      </c>
      <c r="D161" s="88">
        <v>110.48</v>
      </c>
      <c r="E161" s="87">
        <v>70.040000000000006</v>
      </c>
      <c r="F161" s="37">
        <v>44.8</v>
      </c>
      <c r="G161" s="87">
        <v>42.41</v>
      </c>
      <c r="H161" s="87">
        <v>5600</v>
      </c>
      <c r="I161" s="92">
        <v>476</v>
      </c>
      <c r="J161" s="87">
        <v>1881.6</v>
      </c>
      <c r="K161" s="87">
        <v>69.680000000000007</v>
      </c>
      <c r="L161" s="87">
        <v>492.8</v>
      </c>
      <c r="N161" s="33">
        <v>30000</v>
      </c>
      <c r="O161" s="5" t="s">
        <v>412</v>
      </c>
    </row>
    <row r="162" spans="1:15" ht="13.15" customHeight="1" x14ac:dyDescent="0.25">
      <c r="A162" s="86">
        <v>26006</v>
      </c>
      <c r="B162" s="36" t="s">
        <v>592</v>
      </c>
      <c r="C162" s="87">
        <v>11101.58</v>
      </c>
      <c r="D162" s="88">
        <v>165.76</v>
      </c>
      <c r="E162" s="87">
        <v>103.04</v>
      </c>
      <c r="F162" s="37">
        <v>84</v>
      </c>
      <c r="G162" s="87">
        <v>60.7</v>
      </c>
      <c r="H162" s="87">
        <v>7873.82</v>
      </c>
      <c r="I162" s="92">
        <v>636.52</v>
      </c>
      <c r="J162" s="87">
        <v>2912</v>
      </c>
      <c r="K162" s="87">
        <v>104.72</v>
      </c>
      <c r="L162" s="87">
        <v>786.24</v>
      </c>
      <c r="N162" s="33">
        <v>1000</v>
      </c>
      <c r="O162" s="5" t="s">
        <v>412</v>
      </c>
    </row>
    <row r="163" spans="1:15" ht="13.15" customHeight="1" x14ac:dyDescent="0.25">
      <c r="A163" s="86">
        <v>26007</v>
      </c>
      <c r="B163" s="36" t="s">
        <v>593</v>
      </c>
      <c r="C163" s="87">
        <v>61.2</v>
      </c>
      <c r="D163" s="88">
        <v>103.04</v>
      </c>
      <c r="E163" s="87">
        <v>64.400000000000006</v>
      </c>
      <c r="F163" s="37">
        <v>39.200000000000003</v>
      </c>
      <c r="G163" s="87">
        <v>39.31</v>
      </c>
      <c r="H163" s="87">
        <v>5288.98</v>
      </c>
      <c r="I163" s="92">
        <v>434.56</v>
      </c>
      <c r="J163" s="87">
        <v>1909.6</v>
      </c>
      <c r="K163" s="87">
        <v>65.52</v>
      </c>
      <c r="L163" s="87">
        <v>456.96</v>
      </c>
      <c r="N163" s="33">
        <v>5000</v>
      </c>
      <c r="O163" s="5" t="s">
        <v>412</v>
      </c>
    </row>
    <row r="164" spans="1:15" ht="13.15" customHeight="1" x14ac:dyDescent="0.25">
      <c r="A164" s="86">
        <v>27001</v>
      </c>
      <c r="B164" s="36" t="s">
        <v>594</v>
      </c>
      <c r="C164" s="87">
        <v>6.94</v>
      </c>
      <c r="D164" s="88">
        <v>13.05</v>
      </c>
      <c r="E164" s="87">
        <v>7.3</v>
      </c>
      <c r="F164" s="37">
        <v>5.49</v>
      </c>
      <c r="G164" s="87">
        <v>4.51</v>
      </c>
      <c r="H164" s="87">
        <v>592.03</v>
      </c>
      <c r="I164" s="92">
        <v>47.39</v>
      </c>
      <c r="J164" s="87">
        <v>213.4</v>
      </c>
      <c r="K164" s="87">
        <v>7.28</v>
      </c>
      <c r="L164" s="87">
        <v>56.36</v>
      </c>
      <c r="N164" s="33">
        <v>25000</v>
      </c>
      <c r="O164" s="5" t="s">
        <v>369</v>
      </c>
    </row>
    <row r="165" spans="1:15" ht="13.15" customHeight="1" x14ac:dyDescent="0.25">
      <c r="A165" s="86">
        <v>27002</v>
      </c>
      <c r="B165" s="36" t="s">
        <v>595</v>
      </c>
      <c r="C165" s="87">
        <v>119.84</v>
      </c>
      <c r="D165" s="88">
        <v>236.32</v>
      </c>
      <c r="E165" s="87">
        <v>124.32</v>
      </c>
      <c r="F165" s="37">
        <v>94.08</v>
      </c>
      <c r="G165" s="87">
        <v>76.72</v>
      </c>
      <c r="H165" s="87">
        <v>14300.44</v>
      </c>
      <c r="I165" s="92">
        <v>784</v>
      </c>
      <c r="J165" s="87">
        <v>3640</v>
      </c>
      <c r="K165" s="87">
        <v>124.32</v>
      </c>
      <c r="L165" s="87">
        <v>957.6</v>
      </c>
      <c r="N165" s="33">
        <v>1500</v>
      </c>
      <c r="O165" s="5" t="s">
        <v>412</v>
      </c>
    </row>
    <row r="166" spans="1:15" ht="13.15" customHeight="1" x14ac:dyDescent="0.25">
      <c r="A166" s="86">
        <v>27003</v>
      </c>
      <c r="B166" s="36" t="s">
        <v>596</v>
      </c>
      <c r="C166" s="87">
        <v>34.380000000000003</v>
      </c>
      <c r="D166" s="88">
        <v>55.78</v>
      </c>
      <c r="E166" s="87">
        <v>33.15</v>
      </c>
      <c r="F166" s="37">
        <v>25.76</v>
      </c>
      <c r="G166" s="87">
        <v>20.16</v>
      </c>
      <c r="H166" s="87">
        <v>2676.8</v>
      </c>
      <c r="I166" s="92">
        <v>215.04</v>
      </c>
      <c r="J166" s="87">
        <v>985.6</v>
      </c>
      <c r="K166" s="87">
        <v>39.200000000000003</v>
      </c>
      <c r="L166" s="87">
        <v>222.88</v>
      </c>
      <c r="N166" s="33">
        <v>6500</v>
      </c>
      <c r="O166" s="5" t="s">
        <v>412</v>
      </c>
    </row>
    <row r="167" spans="1:15" ht="13.15" customHeight="1" x14ac:dyDescent="0.25">
      <c r="A167" s="86">
        <v>28001</v>
      </c>
      <c r="B167" s="36" t="s">
        <v>597</v>
      </c>
      <c r="C167" s="87">
        <v>49.06</v>
      </c>
      <c r="D167" s="88">
        <v>90.16</v>
      </c>
      <c r="E167" s="87">
        <v>48.16</v>
      </c>
      <c r="F167" s="37">
        <v>34.159999999999997</v>
      </c>
      <c r="G167" s="87">
        <v>26.99</v>
      </c>
      <c r="H167" s="87">
        <v>3629.36</v>
      </c>
      <c r="I167" s="92">
        <v>319.2</v>
      </c>
      <c r="J167" s="87">
        <v>1288</v>
      </c>
      <c r="K167" s="87">
        <v>68.03</v>
      </c>
      <c r="L167" s="87">
        <v>341.6</v>
      </c>
      <c r="N167" s="33">
        <v>4000</v>
      </c>
      <c r="O167" s="5" t="s">
        <v>412</v>
      </c>
    </row>
    <row r="168" spans="1:15" ht="13.15" customHeight="1" x14ac:dyDescent="0.25">
      <c r="A168" s="86">
        <v>28002</v>
      </c>
      <c r="B168" s="36" t="s">
        <v>598</v>
      </c>
      <c r="C168" s="87">
        <v>73.680000000000007</v>
      </c>
      <c r="D168" s="88">
        <v>113.12</v>
      </c>
      <c r="E168" s="87">
        <v>55.55</v>
      </c>
      <c r="F168" s="37">
        <v>43.46</v>
      </c>
      <c r="G168" s="87">
        <v>36.96</v>
      </c>
      <c r="H168" s="87">
        <v>4457.6000000000004</v>
      </c>
      <c r="I168" s="92">
        <v>367.36</v>
      </c>
      <c r="J168" s="87">
        <v>1628.48</v>
      </c>
      <c r="K168" s="87">
        <v>56.9</v>
      </c>
      <c r="L168" s="87">
        <v>437.81</v>
      </c>
      <c r="N168" s="33">
        <v>2400</v>
      </c>
      <c r="O168" s="5" t="s">
        <v>412</v>
      </c>
    </row>
    <row r="169" spans="1:15" ht="13.15" customHeight="1" x14ac:dyDescent="0.25">
      <c r="A169" s="86">
        <v>29001</v>
      </c>
      <c r="B169" s="36" t="s">
        <v>599</v>
      </c>
      <c r="C169" s="87">
        <v>181.44</v>
      </c>
      <c r="D169" s="88">
        <v>380.8</v>
      </c>
      <c r="E169" s="87">
        <v>228.47</v>
      </c>
      <c r="F169" s="37">
        <v>135.52000000000001</v>
      </c>
      <c r="G169" s="87">
        <v>112.11</v>
      </c>
      <c r="H169" s="87">
        <v>22243.200000000001</v>
      </c>
      <c r="I169" s="92">
        <v>1119.4100000000001</v>
      </c>
      <c r="J169" s="87">
        <v>5488</v>
      </c>
      <c r="K169" s="87">
        <v>184.58</v>
      </c>
      <c r="L169" s="87">
        <v>1568</v>
      </c>
      <c r="N169" s="33">
        <v>1000</v>
      </c>
      <c r="O169" s="5" t="s">
        <v>412</v>
      </c>
    </row>
    <row r="170" spans="1:15" ht="13.15" customHeight="1" x14ac:dyDescent="0.25">
      <c r="A170" s="86">
        <v>30001</v>
      </c>
      <c r="B170" s="36" t="s">
        <v>600</v>
      </c>
      <c r="C170" s="87">
        <v>1192.8</v>
      </c>
      <c r="D170" s="88">
        <v>2240</v>
      </c>
      <c r="E170" s="87">
        <v>1243.2</v>
      </c>
      <c r="F170" s="37">
        <v>1013.6</v>
      </c>
      <c r="G170" s="87">
        <v>812</v>
      </c>
      <c r="H170" s="87">
        <v>108528</v>
      </c>
      <c r="I170" s="92">
        <v>8512</v>
      </c>
      <c r="J170" s="87">
        <v>38080</v>
      </c>
      <c r="K170" s="87">
        <v>1288</v>
      </c>
      <c r="L170" s="87">
        <v>11956.22</v>
      </c>
      <c r="N170" s="33">
        <v>150</v>
      </c>
      <c r="O170" s="5" t="s">
        <v>412</v>
      </c>
    </row>
    <row r="171" spans="1:15" ht="13.15" customHeight="1" x14ac:dyDescent="0.25">
      <c r="A171" s="86">
        <v>31001</v>
      </c>
      <c r="B171" s="36" t="s">
        <v>601</v>
      </c>
      <c r="C171" s="87">
        <v>2080.96</v>
      </c>
      <c r="D171" s="88">
        <v>4155.3500000000004</v>
      </c>
      <c r="E171" s="87">
        <v>2184</v>
      </c>
      <c r="F171" s="37">
        <v>1624</v>
      </c>
      <c r="G171" s="87">
        <v>1209.5999999999999</v>
      </c>
      <c r="H171" s="87">
        <v>168000</v>
      </c>
      <c r="I171" s="92">
        <v>13552</v>
      </c>
      <c r="J171" s="87">
        <v>62720</v>
      </c>
      <c r="K171" s="87">
        <v>2247.71</v>
      </c>
      <c r="L171" s="87">
        <v>19623.07</v>
      </c>
      <c r="N171" s="33">
        <v>100</v>
      </c>
      <c r="O171" s="5" t="s">
        <v>412</v>
      </c>
    </row>
    <row r="172" spans="1:15" ht="13.15" customHeight="1" x14ac:dyDescent="0.25">
      <c r="A172" s="86">
        <v>31002</v>
      </c>
      <c r="B172" s="36" t="s">
        <v>602</v>
      </c>
      <c r="C172" s="87">
        <v>462.3</v>
      </c>
      <c r="D172" s="88">
        <v>896.58</v>
      </c>
      <c r="E172" s="87">
        <v>504.88</v>
      </c>
      <c r="F172" s="37">
        <v>372.36</v>
      </c>
      <c r="G172" s="87">
        <v>310.76</v>
      </c>
      <c r="H172" s="87">
        <v>38085.480000000003</v>
      </c>
      <c r="I172" s="92">
        <v>3360.57</v>
      </c>
      <c r="J172" s="87">
        <v>14840.19</v>
      </c>
      <c r="K172" s="87">
        <v>537.67999999999995</v>
      </c>
      <c r="L172" s="87">
        <v>3842.05</v>
      </c>
      <c r="N172" s="33">
        <v>400</v>
      </c>
      <c r="O172" s="5" t="s">
        <v>412</v>
      </c>
    </row>
    <row r="173" spans="1:15" ht="13.15" customHeight="1" x14ac:dyDescent="0.25">
      <c r="A173" s="86">
        <v>31003</v>
      </c>
      <c r="B173" s="36" t="s">
        <v>603</v>
      </c>
      <c r="C173" s="87">
        <v>367.29</v>
      </c>
      <c r="D173" s="88">
        <v>736.43</v>
      </c>
      <c r="E173" s="87">
        <v>353.96</v>
      </c>
      <c r="F173" s="37">
        <v>226.27</v>
      </c>
      <c r="G173" s="87">
        <v>225.59</v>
      </c>
      <c r="H173" s="87">
        <v>29175.18</v>
      </c>
      <c r="I173" s="92">
        <v>2239.7199999999998</v>
      </c>
      <c r="J173" s="87">
        <v>11413.64</v>
      </c>
      <c r="K173" s="87">
        <v>400.68</v>
      </c>
      <c r="L173" s="87">
        <v>2834.14</v>
      </c>
      <c r="N173" s="33">
        <v>500</v>
      </c>
      <c r="O173" s="5" t="s">
        <v>412</v>
      </c>
    </row>
    <row r="174" spans="1:15" ht="13.15" customHeight="1" x14ac:dyDescent="0.25">
      <c r="A174" s="86">
        <v>32001</v>
      </c>
      <c r="B174" s="36" t="s">
        <v>604</v>
      </c>
      <c r="C174" s="87">
        <v>2788.46</v>
      </c>
      <c r="D174" s="88">
        <v>6813.3</v>
      </c>
      <c r="E174" s="87">
        <v>3558.35</v>
      </c>
      <c r="F174" s="37">
        <v>3027.75</v>
      </c>
      <c r="G174" s="87">
        <v>2525.04</v>
      </c>
      <c r="H174" s="87">
        <v>319032.06</v>
      </c>
      <c r="I174" s="92">
        <v>11200</v>
      </c>
      <c r="J174" s="87">
        <v>114374.39999999999</v>
      </c>
      <c r="K174" s="87">
        <v>3628.91</v>
      </c>
      <c r="L174" s="87">
        <v>28654.3</v>
      </c>
      <c r="N174" s="33">
        <v>100</v>
      </c>
      <c r="O174" s="5" t="s">
        <v>412</v>
      </c>
    </row>
    <row r="175" spans="1:15" ht="13.15" customHeight="1" x14ac:dyDescent="0.25">
      <c r="A175" s="86">
        <v>32002</v>
      </c>
      <c r="B175" s="36" t="s">
        <v>605</v>
      </c>
      <c r="C175" s="87">
        <v>5039.55</v>
      </c>
      <c r="D175" s="88">
        <v>9524.93</v>
      </c>
      <c r="E175" s="87">
        <v>5275.65</v>
      </c>
      <c r="F175" s="37">
        <v>3402.34</v>
      </c>
      <c r="G175" s="87">
        <v>3024.46</v>
      </c>
      <c r="H175" s="87">
        <v>393154.05</v>
      </c>
      <c r="I175" s="92">
        <v>22400</v>
      </c>
      <c r="J175" s="87">
        <v>156980.54</v>
      </c>
      <c r="K175" s="87">
        <v>5264</v>
      </c>
      <c r="L175" s="87">
        <v>40520.26</v>
      </c>
      <c r="N175" s="33">
        <v>75</v>
      </c>
      <c r="O175" s="5" t="s">
        <v>412</v>
      </c>
    </row>
    <row r="176" spans="1:15" ht="13.15" customHeight="1" x14ac:dyDescent="0.25">
      <c r="A176" s="86">
        <v>32003</v>
      </c>
      <c r="B176" s="36" t="s">
        <v>606</v>
      </c>
      <c r="C176" s="87">
        <v>199.36</v>
      </c>
      <c r="D176" s="88">
        <v>420.11</v>
      </c>
      <c r="E176" s="87">
        <v>223.66</v>
      </c>
      <c r="F176" s="37">
        <v>156.66999999999999</v>
      </c>
      <c r="G176" s="87">
        <v>133.81</v>
      </c>
      <c r="H176" s="87">
        <v>12208</v>
      </c>
      <c r="I176" s="92">
        <v>1521.63</v>
      </c>
      <c r="J176" s="87">
        <v>6384.49</v>
      </c>
      <c r="K176" s="87">
        <v>214.93</v>
      </c>
      <c r="L176" s="87">
        <v>1702.4</v>
      </c>
      <c r="N176" s="33">
        <v>1000</v>
      </c>
      <c r="O176" s="5" t="s">
        <v>412</v>
      </c>
    </row>
    <row r="177" spans="1:15" ht="13.15" customHeight="1" x14ac:dyDescent="0.25">
      <c r="A177" s="86">
        <v>32004</v>
      </c>
      <c r="B177" s="36" t="s">
        <v>607</v>
      </c>
      <c r="C177" s="87">
        <v>3027.47</v>
      </c>
      <c r="D177" s="88">
        <v>5606.61</v>
      </c>
      <c r="E177" s="87">
        <v>2016</v>
      </c>
      <c r="F177" s="37">
        <v>2180.6999999999998</v>
      </c>
      <c r="G177" s="87">
        <v>1856.69</v>
      </c>
      <c r="H177" s="87">
        <v>245281.29</v>
      </c>
      <c r="I177" s="92">
        <v>1712.37</v>
      </c>
      <c r="J177" s="87">
        <v>80747.179999999993</v>
      </c>
      <c r="K177" s="87">
        <v>3046.4</v>
      </c>
      <c r="L177" s="87">
        <v>21732.82</v>
      </c>
      <c r="N177" s="33">
        <v>1000</v>
      </c>
      <c r="O177" s="5" t="s">
        <v>412</v>
      </c>
    </row>
    <row r="178" spans="1:15" ht="13.15" customHeight="1" x14ac:dyDescent="0.25">
      <c r="A178" s="86">
        <v>32005</v>
      </c>
      <c r="B178" s="36" t="s">
        <v>608</v>
      </c>
      <c r="C178" s="87">
        <v>7728.11</v>
      </c>
      <c r="D178" s="88">
        <v>15793.23</v>
      </c>
      <c r="E178" s="87">
        <v>8422.51</v>
      </c>
      <c r="F178" s="37">
        <v>6048.11</v>
      </c>
      <c r="G178" s="87">
        <v>5051.34</v>
      </c>
      <c r="H178" s="87">
        <v>641760.11</v>
      </c>
      <c r="I178" s="92">
        <v>63639.18</v>
      </c>
      <c r="J178" s="87">
        <v>169120.11</v>
      </c>
      <c r="K178" s="87">
        <v>8232.11</v>
      </c>
      <c r="L178" s="87">
        <v>64501.26</v>
      </c>
      <c r="N178" s="33">
        <v>30</v>
      </c>
      <c r="O178" s="5" t="s">
        <v>412</v>
      </c>
    </row>
    <row r="179" spans="1:15" ht="13.15" customHeight="1" x14ac:dyDescent="0.25">
      <c r="A179" s="86">
        <v>32006</v>
      </c>
      <c r="B179" s="36" t="s">
        <v>609</v>
      </c>
      <c r="C179" s="87">
        <v>1009.01</v>
      </c>
      <c r="D179" s="88">
        <v>1631.84</v>
      </c>
      <c r="E179" s="87">
        <v>959.84</v>
      </c>
      <c r="F179" s="37">
        <v>677.6</v>
      </c>
      <c r="G179" s="87">
        <v>679.85</v>
      </c>
      <c r="H179" s="87">
        <v>88431.84</v>
      </c>
      <c r="I179" s="92">
        <v>6511.68</v>
      </c>
      <c r="J179" s="87">
        <v>27484.799999999999</v>
      </c>
      <c r="K179" s="87">
        <v>1011.47</v>
      </c>
      <c r="L179" s="87">
        <v>7937.44</v>
      </c>
      <c r="N179" s="33">
        <v>2000</v>
      </c>
      <c r="O179" s="5" t="s">
        <v>412</v>
      </c>
    </row>
    <row r="180" spans="1:15" ht="13.15" customHeight="1" x14ac:dyDescent="0.25">
      <c r="A180" s="86">
        <v>32007</v>
      </c>
      <c r="B180" s="36" t="s">
        <v>610</v>
      </c>
      <c r="C180" s="87">
        <v>403.54</v>
      </c>
      <c r="D180" s="88">
        <v>616</v>
      </c>
      <c r="E180" s="87">
        <v>405.31</v>
      </c>
      <c r="F180" s="37">
        <v>297.42</v>
      </c>
      <c r="G180" s="87">
        <v>256.33</v>
      </c>
      <c r="H180" s="87">
        <v>33600.480000000003</v>
      </c>
      <c r="I180" s="92">
        <v>2639.39</v>
      </c>
      <c r="J180" s="87">
        <v>11200</v>
      </c>
      <c r="K180" s="87">
        <v>386.9</v>
      </c>
      <c r="L180" s="87">
        <v>3101.62</v>
      </c>
      <c r="N180" s="33">
        <v>300</v>
      </c>
      <c r="O180" s="5" t="s">
        <v>412</v>
      </c>
    </row>
    <row r="181" spans="1:15" ht="13.15" customHeight="1" x14ac:dyDescent="0.25">
      <c r="A181" s="86">
        <v>32008</v>
      </c>
      <c r="B181" s="36" t="s">
        <v>611</v>
      </c>
      <c r="C181" s="87">
        <v>351.68</v>
      </c>
      <c r="D181" s="88">
        <v>648.48</v>
      </c>
      <c r="E181" s="87">
        <v>357.28</v>
      </c>
      <c r="F181" s="37">
        <v>250.88</v>
      </c>
      <c r="G181" s="87">
        <v>213.18</v>
      </c>
      <c r="H181" s="87">
        <v>30464</v>
      </c>
      <c r="I181" s="92">
        <v>2279.1999999999998</v>
      </c>
      <c r="J181" s="87">
        <v>8960</v>
      </c>
      <c r="K181" s="87">
        <v>343.39</v>
      </c>
      <c r="L181" s="87">
        <v>2878.52</v>
      </c>
      <c r="N181" s="33">
        <v>700</v>
      </c>
      <c r="O181" s="5" t="s">
        <v>412</v>
      </c>
    </row>
    <row r="182" spans="1:15" ht="13.15" customHeight="1" x14ac:dyDescent="0.25">
      <c r="A182" s="86">
        <v>33001</v>
      </c>
      <c r="B182" s="36" t="s">
        <v>612</v>
      </c>
      <c r="C182" s="87">
        <v>210.56</v>
      </c>
      <c r="D182" s="88">
        <v>383.04</v>
      </c>
      <c r="E182" s="87">
        <v>219.37</v>
      </c>
      <c r="F182" s="37">
        <v>207.8</v>
      </c>
      <c r="G182" s="87">
        <v>138.66</v>
      </c>
      <c r="H182" s="87">
        <v>16688</v>
      </c>
      <c r="I182" s="92">
        <v>1455.97</v>
      </c>
      <c r="J182" s="87">
        <v>6272</v>
      </c>
      <c r="K182" s="87">
        <v>231.84</v>
      </c>
      <c r="L182" s="87">
        <v>1624</v>
      </c>
      <c r="N182" s="33">
        <v>1000</v>
      </c>
      <c r="O182" s="5" t="s">
        <v>412</v>
      </c>
    </row>
    <row r="183" spans="1:15" ht="13.15" customHeight="1" x14ac:dyDescent="0.25">
      <c r="A183" s="86">
        <v>33002</v>
      </c>
      <c r="B183" s="36" t="s">
        <v>613</v>
      </c>
      <c r="C183" s="87">
        <v>1882.27</v>
      </c>
      <c r="D183" s="88">
        <v>3836.56</v>
      </c>
      <c r="E183" s="87">
        <v>2011.07</v>
      </c>
      <c r="F183" s="37">
        <v>1526.36</v>
      </c>
      <c r="G183" s="87">
        <v>1187.33</v>
      </c>
      <c r="H183" s="87">
        <v>159600</v>
      </c>
      <c r="I183" s="92">
        <v>12544</v>
      </c>
      <c r="J183" s="87">
        <v>58946.27</v>
      </c>
      <c r="K183" s="87">
        <v>2049.6</v>
      </c>
      <c r="L183" s="87">
        <v>15008</v>
      </c>
      <c r="N183" s="33">
        <v>150</v>
      </c>
      <c r="O183" s="5" t="s">
        <v>412</v>
      </c>
    </row>
    <row r="184" spans="1:15" ht="13.15" customHeight="1" x14ac:dyDescent="0.25">
      <c r="A184" s="86">
        <v>34002</v>
      </c>
      <c r="B184" s="36" t="s">
        <v>614</v>
      </c>
      <c r="C184" s="87">
        <v>8344</v>
      </c>
      <c r="D184" s="88">
        <v>15792</v>
      </c>
      <c r="E184" s="87">
        <v>7845.6</v>
      </c>
      <c r="F184" s="37">
        <v>6087.2</v>
      </c>
      <c r="G184" s="87">
        <v>4709.6000000000004</v>
      </c>
      <c r="H184" s="87">
        <v>677936</v>
      </c>
      <c r="I184" s="92">
        <v>53536</v>
      </c>
      <c r="J184" s="87">
        <v>231358.4</v>
      </c>
      <c r="K184" s="87">
        <v>7839.26</v>
      </c>
      <c r="L184" s="87">
        <v>67760</v>
      </c>
      <c r="N184" s="33">
        <v>25</v>
      </c>
      <c r="O184" s="5" t="s">
        <v>546</v>
      </c>
    </row>
    <row r="185" spans="1:15" ht="13.15" customHeight="1" x14ac:dyDescent="0.25">
      <c r="A185" s="86">
        <v>35001</v>
      </c>
      <c r="B185" s="36" t="s">
        <v>615</v>
      </c>
      <c r="C185" s="87">
        <v>435.68</v>
      </c>
      <c r="D185" s="88">
        <v>828.91</v>
      </c>
      <c r="E185" s="87">
        <v>422.24</v>
      </c>
      <c r="F185" s="37">
        <v>280</v>
      </c>
      <c r="G185" s="87">
        <v>252</v>
      </c>
      <c r="H185" s="87">
        <v>34372.800000000003</v>
      </c>
      <c r="I185" s="92">
        <v>2632</v>
      </c>
      <c r="J185" s="87">
        <v>12208</v>
      </c>
      <c r="K185" s="87">
        <v>442.4</v>
      </c>
      <c r="L185" s="87">
        <v>3212.16</v>
      </c>
      <c r="N185" s="33">
        <v>1000</v>
      </c>
      <c r="O185" s="5" t="s">
        <v>412</v>
      </c>
    </row>
    <row r="186" spans="1:15" ht="13.15" customHeight="1" x14ac:dyDescent="0.25">
      <c r="A186" s="86">
        <v>36001</v>
      </c>
      <c r="B186" s="36" t="s">
        <v>616</v>
      </c>
      <c r="C186" s="87">
        <v>0.99</v>
      </c>
      <c r="D186" s="88">
        <v>1.8</v>
      </c>
      <c r="E186" s="87">
        <v>1.1499999999999999</v>
      </c>
      <c r="F186" s="37">
        <v>0.57999999999999996</v>
      </c>
      <c r="G186" s="87">
        <v>0.66</v>
      </c>
      <c r="H186" s="87">
        <v>88.54</v>
      </c>
      <c r="I186" s="92">
        <v>6.16</v>
      </c>
      <c r="J186" s="87">
        <v>33.619999999999997</v>
      </c>
      <c r="K186" s="87">
        <v>1.1000000000000001</v>
      </c>
      <c r="L186" s="87">
        <v>8.3000000000000007</v>
      </c>
      <c r="N186" s="33">
        <v>50000</v>
      </c>
      <c r="O186" s="5" t="s">
        <v>412</v>
      </c>
    </row>
    <row r="187" spans="1:15" ht="13.15" customHeight="1" x14ac:dyDescent="0.25">
      <c r="A187" s="86">
        <v>36002</v>
      </c>
      <c r="B187" s="36" t="s">
        <v>617</v>
      </c>
      <c r="C187" s="87">
        <v>39.42</v>
      </c>
      <c r="D187" s="88">
        <v>73.7</v>
      </c>
      <c r="E187" s="87">
        <v>40.71</v>
      </c>
      <c r="F187" s="37">
        <v>21.5</v>
      </c>
      <c r="G187" s="87">
        <v>25.65</v>
      </c>
      <c r="H187" s="87">
        <v>3248.11</v>
      </c>
      <c r="I187" s="92">
        <v>224</v>
      </c>
      <c r="J187" s="87">
        <v>1159.2</v>
      </c>
      <c r="K187" s="87">
        <v>41.27</v>
      </c>
      <c r="L187" s="87">
        <v>300.16000000000003</v>
      </c>
      <c r="N187" s="33">
        <v>6000</v>
      </c>
      <c r="O187" s="5" t="s">
        <v>412</v>
      </c>
    </row>
    <row r="188" spans="1:15" ht="13.15" customHeight="1" x14ac:dyDescent="0.25">
      <c r="A188" s="86">
        <v>37001</v>
      </c>
      <c r="B188" s="36" t="s">
        <v>618</v>
      </c>
      <c r="C188" s="87">
        <v>6.83</v>
      </c>
      <c r="D188" s="88">
        <v>12.77</v>
      </c>
      <c r="E188" s="87">
        <v>6.94</v>
      </c>
      <c r="F188" s="37">
        <v>5.0999999999999996</v>
      </c>
      <c r="G188" s="87">
        <v>4.6500000000000004</v>
      </c>
      <c r="H188" s="87">
        <v>571.20000000000005</v>
      </c>
      <c r="I188" s="92">
        <v>50.4</v>
      </c>
      <c r="J188" s="87">
        <v>208.32</v>
      </c>
      <c r="K188" s="87">
        <v>6.94</v>
      </c>
      <c r="L188" s="87">
        <v>54.66</v>
      </c>
      <c r="N188" s="33">
        <v>33000</v>
      </c>
      <c r="O188" s="5" t="s">
        <v>412</v>
      </c>
    </row>
    <row r="189" spans="1:15" ht="13.15" customHeight="1" x14ac:dyDescent="0.25">
      <c r="A189" s="86">
        <v>38001</v>
      </c>
      <c r="B189" s="36" t="s">
        <v>619</v>
      </c>
      <c r="C189" s="87">
        <v>9.51</v>
      </c>
      <c r="D189" s="88">
        <v>15.98</v>
      </c>
      <c r="E189" s="87">
        <v>18.190000000000001</v>
      </c>
      <c r="F189" s="37">
        <v>6.69</v>
      </c>
      <c r="G189" s="87">
        <v>6.29</v>
      </c>
      <c r="H189" s="87">
        <v>848.3</v>
      </c>
      <c r="I189" s="92">
        <v>67.2</v>
      </c>
      <c r="J189" s="87">
        <v>285.60000000000002</v>
      </c>
      <c r="K189" s="87">
        <v>9.93</v>
      </c>
      <c r="L189" s="87">
        <v>70.75</v>
      </c>
      <c r="N189" s="33">
        <v>4600</v>
      </c>
      <c r="O189" s="5" t="s">
        <v>402</v>
      </c>
    </row>
    <row r="190" spans="1:15" ht="13.15" customHeight="1" x14ac:dyDescent="0.25">
      <c r="A190" s="86">
        <v>38002</v>
      </c>
      <c r="B190" s="36" t="s">
        <v>620</v>
      </c>
      <c r="C190" s="87">
        <v>6.83</v>
      </c>
      <c r="D190" s="88">
        <v>10.17</v>
      </c>
      <c r="E190" s="87">
        <v>6.27</v>
      </c>
      <c r="F190" s="37">
        <v>4.16</v>
      </c>
      <c r="G190" s="87">
        <v>3.86</v>
      </c>
      <c r="H190" s="87">
        <v>585.98</v>
      </c>
      <c r="I190" s="92">
        <v>49.95</v>
      </c>
      <c r="J190" s="87">
        <v>179.47</v>
      </c>
      <c r="K190" s="87">
        <v>5.88</v>
      </c>
      <c r="L190" s="87">
        <v>50.51</v>
      </c>
      <c r="N190" s="33">
        <v>34000</v>
      </c>
      <c r="O190" s="5" t="s">
        <v>361</v>
      </c>
    </row>
    <row r="191" spans="1:15" ht="13.15" customHeight="1" x14ac:dyDescent="0.25">
      <c r="A191" s="86">
        <v>38003</v>
      </c>
      <c r="B191" s="36" t="s">
        <v>621</v>
      </c>
      <c r="C191" s="87">
        <v>6.52</v>
      </c>
      <c r="D191" s="88">
        <v>13.89</v>
      </c>
      <c r="E191" s="87">
        <v>7.95</v>
      </c>
      <c r="F191" s="37">
        <v>5.62</v>
      </c>
      <c r="G191" s="87">
        <v>4.49</v>
      </c>
      <c r="H191" s="87">
        <v>750.4</v>
      </c>
      <c r="I191" s="92">
        <v>53.76</v>
      </c>
      <c r="J191" s="87">
        <v>224</v>
      </c>
      <c r="K191" s="87">
        <v>6.72</v>
      </c>
      <c r="L191" s="87">
        <v>56.01</v>
      </c>
      <c r="N191" s="33">
        <v>22000</v>
      </c>
      <c r="O191" s="5" t="s">
        <v>361</v>
      </c>
    </row>
    <row r="192" spans="1:15" ht="13.15" customHeight="1" x14ac:dyDescent="0.25">
      <c r="A192" s="86">
        <v>38004</v>
      </c>
      <c r="B192" s="36" t="s">
        <v>622</v>
      </c>
      <c r="C192" s="87">
        <v>18.260000000000002</v>
      </c>
      <c r="D192" s="88">
        <v>30.6</v>
      </c>
      <c r="E192" s="87">
        <v>25.2</v>
      </c>
      <c r="F192" s="37">
        <v>11.65</v>
      </c>
      <c r="G192" s="87">
        <v>12.43</v>
      </c>
      <c r="H192" s="87">
        <v>2240</v>
      </c>
      <c r="I192" s="92">
        <v>134.28</v>
      </c>
      <c r="J192" s="87">
        <v>582.4</v>
      </c>
      <c r="K192" s="87">
        <v>17.02</v>
      </c>
      <c r="L192" s="87">
        <v>156.80000000000001</v>
      </c>
      <c r="N192" s="33">
        <v>15000</v>
      </c>
      <c r="O192" s="5" t="s">
        <v>361</v>
      </c>
    </row>
    <row r="193" spans="1:15" ht="13.15" customHeight="1" x14ac:dyDescent="0.25">
      <c r="A193" s="86">
        <v>38005</v>
      </c>
      <c r="B193" s="36" t="s">
        <v>623</v>
      </c>
      <c r="C193" s="87">
        <v>23.63</v>
      </c>
      <c r="D193" s="88">
        <v>45.92</v>
      </c>
      <c r="E193" s="87">
        <v>29.34</v>
      </c>
      <c r="F193" s="37">
        <v>19.04</v>
      </c>
      <c r="G193" s="87">
        <v>15.46</v>
      </c>
      <c r="H193" s="87">
        <v>2951.2</v>
      </c>
      <c r="I193" s="92">
        <v>162.4</v>
      </c>
      <c r="J193" s="87">
        <v>744.8</v>
      </c>
      <c r="K193" s="87">
        <v>27.44</v>
      </c>
      <c r="L193" s="87">
        <v>100.8</v>
      </c>
      <c r="N193" s="33">
        <v>30000</v>
      </c>
      <c r="O193" s="5" t="s">
        <v>369</v>
      </c>
    </row>
    <row r="194" spans="1:15" ht="13.15" customHeight="1" x14ac:dyDescent="0.25">
      <c r="A194" s="86">
        <v>39001</v>
      </c>
      <c r="B194" s="36" t="s">
        <v>624</v>
      </c>
      <c r="C194" s="87">
        <v>8.08</v>
      </c>
      <c r="D194" s="88">
        <v>9.18</v>
      </c>
      <c r="E194" s="87">
        <v>8.2899999999999991</v>
      </c>
      <c r="F194" s="37">
        <v>6.18</v>
      </c>
      <c r="G194" s="87">
        <v>5.15</v>
      </c>
      <c r="H194" s="87">
        <v>655.63</v>
      </c>
      <c r="I194" s="92">
        <v>54.88</v>
      </c>
      <c r="J194" s="87">
        <v>240.05</v>
      </c>
      <c r="K194" s="87">
        <v>8.31</v>
      </c>
      <c r="L194" s="87">
        <v>65.52</v>
      </c>
      <c r="N194" s="33">
        <v>9000</v>
      </c>
      <c r="O194" s="5" t="s">
        <v>380</v>
      </c>
    </row>
    <row r="195" spans="1:15" ht="13.15" customHeight="1" x14ac:dyDescent="0.25">
      <c r="A195" s="86">
        <v>39002</v>
      </c>
      <c r="B195" s="36" t="s">
        <v>625</v>
      </c>
      <c r="C195" s="87">
        <v>13.22</v>
      </c>
      <c r="D195" s="88">
        <v>21.84</v>
      </c>
      <c r="E195" s="87">
        <v>12.88</v>
      </c>
      <c r="F195" s="37">
        <v>8.2899999999999991</v>
      </c>
      <c r="G195" s="87">
        <v>8.15</v>
      </c>
      <c r="H195" s="87">
        <v>728</v>
      </c>
      <c r="I195" s="92">
        <v>59.77</v>
      </c>
      <c r="J195" s="87">
        <v>420</v>
      </c>
      <c r="K195" s="87">
        <v>12.99</v>
      </c>
      <c r="L195" s="87">
        <v>90.16</v>
      </c>
      <c r="N195" s="33">
        <v>21000</v>
      </c>
      <c r="O195" s="5" t="s">
        <v>380</v>
      </c>
    </row>
    <row r="196" spans="1:15" ht="13.15" customHeight="1" x14ac:dyDescent="0.25">
      <c r="A196" s="86">
        <v>40001</v>
      </c>
      <c r="B196" s="36" t="s">
        <v>626</v>
      </c>
      <c r="C196" s="87">
        <v>29.68</v>
      </c>
      <c r="D196" s="88">
        <v>58.24</v>
      </c>
      <c r="E196" s="87">
        <v>30.24</v>
      </c>
      <c r="F196" s="37">
        <v>22.74</v>
      </c>
      <c r="G196" s="87">
        <v>19.04</v>
      </c>
      <c r="H196" s="87">
        <v>2464</v>
      </c>
      <c r="I196" s="92">
        <v>201.6</v>
      </c>
      <c r="J196" s="87">
        <v>918.4</v>
      </c>
      <c r="K196" s="87">
        <v>30.24</v>
      </c>
      <c r="L196" s="87">
        <v>239.68</v>
      </c>
      <c r="N196" s="33">
        <v>500</v>
      </c>
      <c r="O196" s="5" t="s">
        <v>369</v>
      </c>
    </row>
    <row r="197" spans="1:15" ht="13.15" customHeight="1" x14ac:dyDescent="0.25">
      <c r="A197" s="86">
        <v>40002</v>
      </c>
      <c r="B197" s="36" t="s">
        <v>627</v>
      </c>
      <c r="C197" s="87">
        <v>1.43</v>
      </c>
      <c r="D197" s="88">
        <v>3.02</v>
      </c>
      <c r="E197" s="87">
        <v>1.6</v>
      </c>
      <c r="F197" s="37">
        <v>1.19</v>
      </c>
      <c r="G197" s="87">
        <v>0.91</v>
      </c>
      <c r="H197" s="87">
        <v>113.56</v>
      </c>
      <c r="I197" s="92">
        <v>10.11</v>
      </c>
      <c r="J197" s="87">
        <v>45.83</v>
      </c>
      <c r="K197" s="87">
        <v>1.6</v>
      </c>
      <c r="L197" s="87">
        <v>12.13</v>
      </c>
      <c r="N197" s="33">
        <v>30000</v>
      </c>
      <c r="O197" s="5" t="s">
        <v>369</v>
      </c>
    </row>
    <row r="198" spans="1:15" ht="13.15" customHeight="1" x14ac:dyDescent="0.25">
      <c r="A198" s="86">
        <v>41001</v>
      </c>
      <c r="B198" s="36" t="s">
        <v>628</v>
      </c>
      <c r="C198" s="87">
        <v>2.02</v>
      </c>
      <c r="D198" s="88">
        <v>4.26</v>
      </c>
      <c r="E198" s="87">
        <v>2.69</v>
      </c>
      <c r="F198" s="37">
        <v>1.71</v>
      </c>
      <c r="G198" s="87">
        <v>1.62</v>
      </c>
      <c r="H198" s="87">
        <v>211.12</v>
      </c>
      <c r="I198" s="92">
        <v>17.36</v>
      </c>
      <c r="J198" s="87">
        <v>80.64</v>
      </c>
      <c r="K198" s="87">
        <v>2.74</v>
      </c>
      <c r="L198" s="87">
        <v>18.48</v>
      </c>
      <c r="N198" s="33">
        <v>30000</v>
      </c>
      <c r="O198" s="5" t="s">
        <v>412</v>
      </c>
    </row>
    <row r="199" spans="1:15" ht="13.15" customHeight="1" x14ac:dyDescent="0.25">
      <c r="A199" s="86">
        <v>41002</v>
      </c>
      <c r="B199" s="36" t="s">
        <v>629</v>
      </c>
      <c r="C199" s="87">
        <v>5.28</v>
      </c>
      <c r="D199" s="88">
        <v>8.74</v>
      </c>
      <c r="E199" s="87">
        <v>5.6</v>
      </c>
      <c r="F199" s="37">
        <v>3.58</v>
      </c>
      <c r="G199" s="87">
        <v>3.37</v>
      </c>
      <c r="H199" s="87">
        <v>441.28</v>
      </c>
      <c r="I199" s="92">
        <v>35.840000000000003</v>
      </c>
      <c r="J199" s="87">
        <v>160.32</v>
      </c>
      <c r="K199" s="87">
        <v>5.6</v>
      </c>
      <c r="L199" s="87">
        <v>33.6</v>
      </c>
      <c r="N199" s="33">
        <v>20000</v>
      </c>
      <c r="O199" s="5" t="s">
        <v>412</v>
      </c>
    </row>
    <row r="200" spans="1:15" ht="13.15" customHeight="1" x14ac:dyDescent="0.25">
      <c r="A200" s="86">
        <v>41003</v>
      </c>
      <c r="B200" s="36" t="s">
        <v>630</v>
      </c>
      <c r="C200" s="87">
        <v>5.82</v>
      </c>
      <c r="D200" s="88">
        <v>9.6300000000000008</v>
      </c>
      <c r="E200" s="87">
        <v>6.16</v>
      </c>
      <c r="F200" s="37">
        <v>3.92</v>
      </c>
      <c r="G200" s="87">
        <v>3.81</v>
      </c>
      <c r="H200" s="87">
        <v>478.24</v>
      </c>
      <c r="I200" s="92">
        <v>40.32</v>
      </c>
      <c r="J200" s="87">
        <v>175.28</v>
      </c>
      <c r="K200" s="87">
        <v>5.04</v>
      </c>
      <c r="L200" s="87">
        <v>43.01</v>
      </c>
      <c r="N200" s="33">
        <v>5000</v>
      </c>
      <c r="O200" s="5" t="s">
        <v>412</v>
      </c>
    </row>
    <row r="201" spans="1:15" ht="13.15" customHeight="1" x14ac:dyDescent="0.25">
      <c r="A201" s="86">
        <v>42001</v>
      </c>
      <c r="B201" s="36" t="s">
        <v>631</v>
      </c>
      <c r="C201" s="87">
        <v>2.69</v>
      </c>
      <c r="D201" s="88">
        <v>5.22</v>
      </c>
      <c r="E201" s="87">
        <v>2.81</v>
      </c>
      <c r="F201" s="37">
        <v>2.09</v>
      </c>
      <c r="G201" s="87">
        <v>1.74</v>
      </c>
      <c r="H201" s="87">
        <v>179.2</v>
      </c>
      <c r="I201" s="92">
        <v>17.45</v>
      </c>
      <c r="J201" s="87">
        <v>84.34</v>
      </c>
      <c r="K201" s="87">
        <v>2.9</v>
      </c>
      <c r="L201" s="87">
        <v>22.62</v>
      </c>
      <c r="N201" s="33">
        <v>40000</v>
      </c>
      <c r="O201" s="5" t="s">
        <v>402</v>
      </c>
    </row>
    <row r="202" spans="1:15" ht="13.15" customHeight="1" x14ac:dyDescent="0.25">
      <c r="A202" s="86">
        <v>43001</v>
      </c>
      <c r="B202" s="36" t="s">
        <v>632</v>
      </c>
      <c r="C202" s="87">
        <v>688.8</v>
      </c>
      <c r="D202" s="88">
        <v>1338.96</v>
      </c>
      <c r="E202" s="87">
        <v>838.88</v>
      </c>
      <c r="F202" s="37">
        <v>548.79999999999995</v>
      </c>
      <c r="G202" s="87">
        <v>450.24</v>
      </c>
      <c r="H202" s="87">
        <v>82320</v>
      </c>
      <c r="I202" s="92">
        <v>4648</v>
      </c>
      <c r="J202" s="87">
        <v>21669.759999999998</v>
      </c>
      <c r="K202" s="87">
        <v>797.44</v>
      </c>
      <c r="L202" s="87">
        <v>4480</v>
      </c>
      <c r="N202" s="33">
        <v>700</v>
      </c>
      <c r="O202" s="5" t="s">
        <v>546</v>
      </c>
    </row>
    <row r="203" spans="1:15" ht="13.15" customHeight="1" x14ac:dyDescent="0.25">
      <c r="A203" s="86">
        <v>44001</v>
      </c>
      <c r="B203" s="36" t="s">
        <v>633</v>
      </c>
      <c r="C203" s="87">
        <v>235.2</v>
      </c>
      <c r="D203" s="88">
        <v>420</v>
      </c>
      <c r="E203" s="87">
        <v>244.16</v>
      </c>
      <c r="F203" s="37">
        <v>140</v>
      </c>
      <c r="G203" s="87">
        <v>147.84</v>
      </c>
      <c r="H203" s="87">
        <v>19208</v>
      </c>
      <c r="I203" s="92">
        <v>1456</v>
      </c>
      <c r="J203" s="87">
        <v>3584</v>
      </c>
      <c r="K203" s="87">
        <v>238.56</v>
      </c>
      <c r="L203" s="87">
        <v>1848</v>
      </c>
      <c r="N203" s="33">
        <v>4000</v>
      </c>
      <c r="O203" s="5" t="s">
        <v>412</v>
      </c>
    </row>
    <row r="204" spans="1:15" ht="13.15" customHeight="1" x14ac:dyDescent="0.25">
      <c r="A204" s="86">
        <v>45001</v>
      </c>
      <c r="B204" s="36" t="s">
        <v>634</v>
      </c>
      <c r="C204" s="87">
        <v>45.38</v>
      </c>
      <c r="D204" s="88">
        <v>83.12</v>
      </c>
      <c r="E204" s="87">
        <v>45.47</v>
      </c>
      <c r="F204" s="37">
        <v>36.4</v>
      </c>
      <c r="G204" s="87">
        <v>27.33</v>
      </c>
      <c r="H204" s="87">
        <v>3864</v>
      </c>
      <c r="I204" s="92">
        <v>308.45</v>
      </c>
      <c r="J204" s="87">
        <v>1456</v>
      </c>
      <c r="K204" s="87">
        <v>51.12</v>
      </c>
      <c r="L204" s="87">
        <v>401.07</v>
      </c>
      <c r="N204" s="33">
        <v>3000</v>
      </c>
      <c r="O204" s="5" t="s">
        <v>537</v>
      </c>
    </row>
    <row r="205" spans="1:15" ht="13.15" customHeight="1" x14ac:dyDescent="0.25">
      <c r="A205" s="86">
        <v>46001</v>
      </c>
      <c r="B205" s="36" t="s">
        <v>635</v>
      </c>
      <c r="C205" s="87">
        <v>51.3</v>
      </c>
      <c r="D205" s="88">
        <v>97.72</v>
      </c>
      <c r="E205" s="87">
        <v>56.56</v>
      </c>
      <c r="F205" s="37">
        <v>36.4</v>
      </c>
      <c r="G205" s="87">
        <v>34.25</v>
      </c>
      <c r="H205" s="87">
        <v>4264.18</v>
      </c>
      <c r="I205" s="92">
        <v>389.18</v>
      </c>
      <c r="J205" s="87">
        <v>1601.6</v>
      </c>
      <c r="K205" s="87">
        <v>56.9</v>
      </c>
      <c r="L205" s="87">
        <v>364</v>
      </c>
      <c r="N205" s="33">
        <v>4000</v>
      </c>
      <c r="O205" s="5" t="s">
        <v>412</v>
      </c>
    </row>
    <row r="206" spans="1:15" ht="13.15" customHeight="1" x14ac:dyDescent="0.25">
      <c r="A206" s="86">
        <v>47001</v>
      </c>
      <c r="B206" s="36" t="s">
        <v>636</v>
      </c>
      <c r="C206" s="87">
        <v>18.03</v>
      </c>
      <c r="D206" s="88">
        <v>34.5</v>
      </c>
      <c r="E206" s="87">
        <v>17.579999999999998</v>
      </c>
      <c r="F206" s="37">
        <v>13.55</v>
      </c>
      <c r="G206" s="87">
        <v>11.76</v>
      </c>
      <c r="H206" s="87">
        <v>1366.4</v>
      </c>
      <c r="I206" s="92">
        <v>113.12</v>
      </c>
      <c r="J206" s="87">
        <v>560</v>
      </c>
      <c r="K206" s="87">
        <v>17.7</v>
      </c>
      <c r="L206" s="87">
        <v>141.12</v>
      </c>
      <c r="N206" s="33">
        <v>3500</v>
      </c>
      <c r="O206" s="5" t="s">
        <v>412</v>
      </c>
    </row>
    <row r="207" spans="1:15" ht="13.15" customHeight="1" x14ac:dyDescent="0.25">
      <c r="A207" s="86">
        <v>48001</v>
      </c>
      <c r="B207" s="36" t="s">
        <v>637</v>
      </c>
      <c r="C207" s="87">
        <v>7.55</v>
      </c>
      <c r="D207" s="88">
        <v>13.43</v>
      </c>
      <c r="E207" s="87">
        <v>7.85</v>
      </c>
      <c r="F207" s="37">
        <v>5.61</v>
      </c>
      <c r="G207" s="87">
        <v>4.59</v>
      </c>
      <c r="H207" s="87">
        <v>683.2</v>
      </c>
      <c r="I207" s="92">
        <v>49.63</v>
      </c>
      <c r="J207" s="87">
        <v>224</v>
      </c>
      <c r="K207" s="87">
        <v>7.71</v>
      </c>
      <c r="L207" s="87">
        <v>58.51</v>
      </c>
      <c r="N207" s="33">
        <v>5000</v>
      </c>
      <c r="O207" s="5" t="s">
        <v>412</v>
      </c>
    </row>
    <row r="208" spans="1:15" ht="13.15" customHeight="1" x14ac:dyDescent="0.25">
      <c r="A208" s="86">
        <v>49001</v>
      </c>
      <c r="B208" s="36" t="s">
        <v>638</v>
      </c>
      <c r="C208" s="87">
        <v>45.02</v>
      </c>
      <c r="D208" s="88">
        <v>98.22</v>
      </c>
      <c r="E208" s="87">
        <v>56.56</v>
      </c>
      <c r="F208" s="37">
        <v>33.71</v>
      </c>
      <c r="G208" s="87">
        <v>27.22</v>
      </c>
      <c r="H208" s="87">
        <v>4480</v>
      </c>
      <c r="I208" s="92">
        <v>276.64</v>
      </c>
      <c r="J208" s="87">
        <v>1467.2</v>
      </c>
      <c r="K208" s="87">
        <v>48.38</v>
      </c>
      <c r="L208" s="87">
        <v>427.84</v>
      </c>
      <c r="N208" s="33">
        <v>1500</v>
      </c>
      <c r="O208" s="5" t="s">
        <v>412</v>
      </c>
    </row>
    <row r="209" spans="1:15" ht="13.15" customHeight="1" x14ac:dyDescent="0.25">
      <c r="A209" s="86">
        <v>50001</v>
      </c>
      <c r="B209" s="36" t="s">
        <v>639</v>
      </c>
      <c r="C209" s="87">
        <v>6.73</v>
      </c>
      <c r="D209" s="88">
        <v>13.55</v>
      </c>
      <c r="E209" s="87">
        <v>7.5</v>
      </c>
      <c r="F209" s="37">
        <v>5.58</v>
      </c>
      <c r="G209" s="87">
        <v>4.29</v>
      </c>
      <c r="H209" s="87">
        <v>672</v>
      </c>
      <c r="I209" s="92">
        <v>44.77</v>
      </c>
      <c r="J209" s="87">
        <v>210.18</v>
      </c>
      <c r="K209" s="87">
        <v>6.89</v>
      </c>
      <c r="L209" s="87">
        <v>55.44</v>
      </c>
      <c r="N209" s="33">
        <v>10000</v>
      </c>
      <c r="O209" s="5" t="s">
        <v>402</v>
      </c>
    </row>
    <row r="210" spans="1:15" ht="13.15" customHeight="1" x14ac:dyDescent="0.25">
      <c r="A210" s="86">
        <v>51001</v>
      </c>
      <c r="B210" s="36" t="s">
        <v>640</v>
      </c>
      <c r="C210" s="87">
        <v>25.54</v>
      </c>
      <c r="D210" s="88">
        <v>50.27</v>
      </c>
      <c r="E210" s="87">
        <v>24.75</v>
      </c>
      <c r="F210" s="37">
        <v>16.55</v>
      </c>
      <c r="G210" s="87">
        <v>15.06</v>
      </c>
      <c r="H210" s="87">
        <v>2240</v>
      </c>
      <c r="I210" s="92">
        <v>163.52000000000001</v>
      </c>
      <c r="J210" s="87">
        <v>718.04</v>
      </c>
      <c r="K210" s="87">
        <v>26.43</v>
      </c>
      <c r="L210" s="87">
        <v>182.56</v>
      </c>
      <c r="N210" s="33">
        <v>10000</v>
      </c>
      <c r="O210" s="5" t="s">
        <v>402</v>
      </c>
    </row>
    <row r="214" spans="1:15" ht="13.15" customHeight="1" x14ac:dyDescent="0.35">
      <c r="A214" s="50" t="s">
        <v>21</v>
      </c>
      <c r="B214" s="50" t="s">
        <v>74</v>
      </c>
      <c r="C214" s="50" t="s">
        <v>69</v>
      </c>
      <c r="D214" s="50" t="s">
        <v>38</v>
      </c>
      <c r="E214" s="50" t="s">
        <v>45</v>
      </c>
      <c r="F214" s="55" t="s">
        <v>52</v>
      </c>
      <c r="G214" s="50" t="s">
        <v>16</v>
      </c>
      <c r="H214" s="50" t="s">
        <v>56</v>
      </c>
      <c r="I214" s="50" t="s">
        <v>64</v>
      </c>
      <c r="J214" s="50" t="s">
        <v>11</v>
      </c>
    </row>
    <row r="215" spans="1:15" ht="13.15" customHeight="1" x14ac:dyDescent="0.25">
      <c r="A215" s="95" t="s">
        <v>372</v>
      </c>
      <c r="B215" s="96">
        <v>23005</v>
      </c>
      <c r="C215" s="96">
        <v>24001</v>
      </c>
      <c r="D215" s="95">
        <v>20005</v>
      </c>
      <c r="E215" s="96">
        <v>22002</v>
      </c>
      <c r="F215" s="79">
        <v>22007</v>
      </c>
      <c r="G215" s="96">
        <v>22005</v>
      </c>
      <c r="H215" s="96">
        <v>20005</v>
      </c>
      <c r="I215" s="98">
        <v>20005</v>
      </c>
      <c r="J215" s="96">
        <v>38004</v>
      </c>
    </row>
    <row r="216" spans="1:15" ht="13.15" customHeight="1" x14ac:dyDescent="0.25">
      <c r="A216" s="70" t="s">
        <v>396</v>
      </c>
      <c r="B216" s="71">
        <v>38003</v>
      </c>
      <c r="C216" s="71">
        <v>24004</v>
      </c>
      <c r="D216" s="70">
        <v>33002</v>
      </c>
      <c r="E216" s="71">
        <v>20005</v>
      </c>
      <c r="F216" s="79">
        <v>22006</v>
      </c>
      <c r="G216" s="71">
        <v>22002</v>
      </c>
      <c r="H216" s="71">
        <v>23009</v>
      </c>
      <c r="I216" s="99">
        <v>20004</v>
      </c>
      <c r="J216" s="71">
        <v>38005</v>
      </c>
    </row>
    <row r="217" spans="1:15" ht="13.15" customHeight="1" x14ac:dyDescent="0.25">
      <c r="A217" s="95" t="s">
        <v>405</v>
      </c>
      <c r="B217" s="96">
        <v>23001</v>
      </c>
      <c r="C217" s="96">
        <v>24003</v>
      </c>
      <c r="D217" s="95">
        <v>22005</v>
      </c>
      <c r="E217" s="96">
        <v>20004</v>
      </c>
      <c r="F217" s="79">
        <v>22008</v>
      </c>
      <c r="G217" s="96">
        <v>22006</v>
      </c>
      <c r="H217" s="96">
        <v>20004</v>
      </c>
      <c r="I217" s="98">
        <v>22005</v>
      </c>
      <c r="J217" s="96">
        <v>43001</v>
      </c>
    </row>
    <row r="218" spans="1:15" ht="13.15" customHeight="1" x14ac:dyDescent="0.25">
      <c r="A218" s="70" t="s">
        <v>407</v>
      </c>
      <c r="B218" s="71">
        <v>21001</v>
      </c>
      <c r="C218" s="71">
        <v>24002</v>
      </c>
      <c r="D218" s="70">
        <v>25004</v>
      </c>
      <c r="E218" s="71">
        <v>15001</v>
      </c>
      <c r="F218" s="79">
        <v>22005</v>
      </c>
      <c r="G218" s="71">
        <v>16008</v>
      </c>
      <c r="H218" s="71">
        <v>32008</v>
      </c>
      <c r="I218" s="99">
        <v>25019</v>
      </c>
      <c r="J218" s="71" t="s">
        <v>441</v>
      </c>
    </row>
    <row r="219" spans="1:15" ht="13.15" customHeight="1" x14ac:dyDescent="0.25">
      <c r="A219" s="95" t="s">
        <v>410</v>
      </c>
      <c r="B219" s="96" t="s">
        <v>372</v>
      </c>
      <c r="C219" s="96">
        <v>38004</v>
      </c>
      <c r="D219" s="95">
        <v>10004</v>
      </c>
      <c r="E219" s="96">
        <v>25002</v>
      </c>
      <c r="F219" s="79">
        <v>16008</v>
      </c>
      <c r="G219" s="96">
        <v>22007</v>
      </c>
      <c r="H219" s="96">
        <v>44001</v>
      </c>
      <c r="I219" s="98">
        <v>10004</v>
      </c>
      <c r="J219" s="96" t="s">
        <v>476</v>
      </c>
    </row>
    <row r="220" spans="1:15" ht="13.15" customHeight="1" x14ac:dyDescent="0.25">
      <c r="A220" s="70" t="s">
        <v>413</v>
      </c>
      <c r="B220" s="71" t="s">
        <v>465</v>
      </c>
      <c r="C220" s="71">
        <v>38003</v>
      </c>
      <c r="D220" s="70">
        <v>25008</v>
      </c>
      <c r="E220" s="71">
        <v>31002</v>
      </c>
      <c r="F220" s="79">
        <v>26003</v>
      </c>
      <c r="G220" s="71">
        <v>12010</v>
      </c>
      <c r="H220" s="71">
        <v>25004</v>
      </c>
      <c r="I220" s="99">
        <v>25008</v>
      </c>
      <c r="J220" s="71" t="s">
        <v>478</v>
      </c>
    </row>
    <row r="221" spans="1:15" ht="13.15" customHeight="1" x14ac:dyDescent="0.25">
      <c r="A221" s="95" t="s">
        <v>415</v>
      </c>
      <c r="B221" s="96" t="s">
        <v>376</v>
      </c>
      <c r="C221" s="96" t="s">
        <v>476</v>
      </c>
      <c r="D221" s="95">
        <v>20004</v>
      </c>
      <c r="E221" s="96">
        <v>14009</v>
      </c>
      <c r="F221" s="79">
        <v>21001</v>
      </c>
      <c r="G221" s="96">
        <v>12008</v>
      </c>
      <c r="H221" s="96">
        <v>25003</v>
      </c>
      <c r="I221" s="98">
        <v>34002</v>
      </c>
      <c r="J221" s="96">
        <v>25016</v>
      </c>
    </row>
    <row r="222" spans="1:15" ht="13.15" customHeight="1" x14ac:dyDescent="0.25">
      <c r="A222" s="70" t="s">
        <v>419</v>
      </c>
      <c r="B222" s="71">
        <v>32007</v>
      </c>
      <c r="C222" s="71">
        <v>23001</v>
      </c>
      <c r="D222" s="70">
        <v>10009</v>
      </c>
      <c r="E222" s="71">
        <v>25005</v>
      </c>
      <c r="F222" s="79">
        <v>25010</v>
      </c>
      <c r="G222" s="71" t="s">
        <v>359</v>
      </c>
      <c r="H222" s="71">
        <v>31002</v>
      </c>
      <c r="I222" s="99" t="s">
        <v>465</v>
      </c>
      <c r="J222" s="71" t="s">
        <v>376</v>
      </c>
    </row>
    <row r="223" spans="1:15" ht="13.15" customHeight="1" x14ac:dyDescent="0.25">
      <c r="A223" s="95" t="s">
        <v>463</v>
      </c>
      <c r="B223" s="96">
        <v>23010</v>
      </c>
      <c r="C223" s="96" t="s">
        <v>465</v>
      </c>
      <c r="D223" s="95">
        <v>15008</v>
      </c>
      <c r="E223" s="96">
        <v>31003</v>
      </c>
      <c r="F223" s="79">
        <v>10004</v>
      </c>
      <c r="G223" s="96">
        <v>22003</v>
      </c>
      <c r="H223" s="96">
        <v>13008</v>
      </c>
      <c r="I223" s="98">
        <v>32006</v>
      </c>
      <c r="J223" s="96">
        <v>41002</v>
      </c>
    </row>
    <row r="224" spans="1:15" ht="13.15" customHeight="1" x14ac:dyDescent="0.25">
      <c r="A224" s="70" t="s">
        <v>467</v>
      </c>
      <c r="B224" s="71">
        <v>25014</v>
      </c>
      <c r="C224" s="71">
        <v>38002</v>
      </c>
      <c r="D224" s="70">
        <v>10005</v>
      </c>
      <c r="E224" s="71" t="s">
        <v>431</v>
      </c>
      <c r="F224" s="79">
        <v>29001</v>
      </c>
      <c r="G224" s="71">
        <v>22008</v>
      </c>
      <c r="H224" s="71">
        <v>31003</v>
      </c>
      <c r="I224" s="99">
        <v>20001</v>
      </c>
      <c r="J224" s="71">
        <v>31001</v>
      </c>
    </row>
    <row r="225" spans="1:10" ht="13.15" customHeight="1" x14ac:dyDescent="0.25">
      <c r="A225" s="95" t="s">
        <v>469</v>
      </c>
      <c r="B225" s="96">
        <v>25015</v>
      </c>
      <c r="C225" s="96">
        <v>25011</v>
      </c>
      <c r="D225" s="95">
        <v>10010</v>
      </c>
      <c r="E225" s="96">
        <v>20001</v>
      </c>
      <c r="F225" s="79">
        <v>10007</v>
      </c>
      <c r="G225" s="96">
        <v>32003</v>
      </c>
      <c r="H225" s="96">
        <v>47001</v>
      </c>
      <c r="I225" s="98" t="s">
        <v>374</v>
      </c>
      <c r="J225" s="96" t="s">
        <v>374</v>
      </c>
    </row>
    <row r="226" spans="1:10" ht="13.15" customHeight="1" x14ac:dyDescent="0.25">
      <c r="A226" s="70" t="s">
        <v>476</v>
      </c>
      <c r="B226" s="71">
        <v>19006</v>
      </c>
      <c r="C226" s="71" t="s">
        <v>478</v>
      </c>
      <c r="D226" s="70">
        <v>33001</v>
      </c>
      <c r="E226" s="71">
        <v>21001</v>
      </c>
      <c r="F226" s="79">
        <v>51001</v>
      </c>
      <c r="G226" s="71">
        <v>12006</v>
      </c>
      <c r="H226" s="71">
        <v>10011</v>
      </c>
      <c r="I226" s="99">
        <v>25012</v>
      </c>
      <c r="J226" s="71">
        <v>30001</v>
      </c>
    </row>
    <row r="227" spans="1:10" ht="13.15" customHeight="1" x14ac:dyDescent="0.25">
      <c r="A227" s="95" t="s">
        <v>478</v>
      </c>
      <c r="B227" s="96">
        <v>19001</v>
      </c>
      <c r="C227" s="96" t="s">
        <v>376</v>
      </c>
      <c r="D227" s="95" t="s">
        <v>378</v>
      </c>
      <c r="E227" s="96">
        <v>26002</v>
      </c>
      <c r="F227" s="79">
        <v>25009</v>
      </c>
      <c r="G227" s="96">
        <v>22004</v>
      </c>
      <c r="H227" s="96">
        <v>21001</v>
      </c>
      <c r="I227" s="98">
        <v>10005</v>
      </c>
      <c r="J227" s="96" t="s">
        <v>451</v>
      </c>
    </row>
    <row r="228" spans="1:10" ht="13.15" customHeight="1" x14ac:dyDescent="0.25">
      <c r="A228" s="70" t="s">
        <v>480</v>
      </c>
      <c r="B228" s="71">
        <v>25006</v>
      </c>
      <c r="C228" s="71">
        <v>38001</v>
      </c>
      <c r="D228" s="70" t="s">
        <v>385</v>
      </c>
      <c r="E228" s="71">
        <v>15002</v>
      </c>
      <c r="F228" s="79">
        <v>49001</v>
      </c>
      <c r="G228" s="71">
        <v>32005</v>
      </c>
      <c r="H228" s="71">
        <v>14010</v>
      </c>
      <c r="I228" s="99" t="s">
        <v>376</v>
      </c>
      <c r="J228" s="71" t="s">
        <v>467</v>
      </c>
    </row>
    <row r="229" spans="1:10" ht="13.15" customHeight="1" x14ac:dyDescent="0.25">
      <c r="A229" s="95">
        <v>17002</v>
      </c>
      <c r="B229" s="96">
        <v>13008</v>
      </c>
      <c r="C229" s="96" t="s">
        <v>387</v>
      </c>
      <c r="D229" s="95">
        <v>10003</v>
      </c>
      <c r="E229" s="96" t="s">
        <v>417</v>
      </c>
      <c r="F229" s="79">
        <v>10001</v>
      </c>
      <c r="G229" s="96">
        <v>32001</v>
      </c>
      <c r="H229" s="96">
        <v>45001</v>
      </c>
      <c r="I229" s="98">
        <v>10008</v>
      </c>
      <c r="J229" s="96">
        <v>25017</v>
      </c>
    </row>
    <row r="230" spans="1:10" ht="13.15" customHeight="1" x14ac:dyDescent="0.25">
      <c r="A230" s="70">
        <v>17009</v>
      </c>
      <c r="B230" s="71">
        <v>17009</v>
      </c>
      <c r="C230" s="71" t="s">
        <v>461</v>
      </c>
      <c r="D230" s="70">
        <v>10008</v>
      </c>
      <c r="E230" s="71" t="s">
        <v>365</v>
      </c>
      <c r="F230" s="79">
        <v>25001</v>
      </c>
      <c r="G230" s="71">
        <v>32004</v>
      </c>
      <c r="H230" s="71">
        <v>15003</v>
      </c>
      <c r="I230" s="99">
        <v>41003</v>
      </c>
      <c r="J230" s="71">
        <v>13008</v>
      </c>
    </row>
    <row r="231" spans="1:10" ht="13.15" customHeight="1" x14ac:dyDescent="0.25">
      <c r="A231" s="95">
        <v>17010</v>
      </c>
      <c r="B231" s="96">
        <v>19009</v>
      </c>
      <c r="C231" s="96" t="s">
        <v>467</v>
      </c>
      <c r="D231" s="95" t="s">
        <v>370</v>
      </c>
      <c r="E231" s="96" t="s">
        <v>403</v>
      </c>
      <c r="F231" s="79">
        <v>16001</v>
      </c>
      <c r="G231" s="96">
        <v>32002</v>
      </c>
      <c r="H231" s="96" t="s">
        <v>449</v>
      </c>
      <c r="I231" s="98">
        <v>21001</v>
      </c>
      <c r="J231" s="96">
        <v>21001</v>
      </c>
    </row>
    <row r="232" spans="1:10" ht="13.15" customHeight="1" x14ac:dyDescent="0.25">
      <c r="A232" s="70">
        <v>18001</v>
      </c>
      <c r="B232" s="71">
        <v>25003</v>
      </c>
      <c r="C232" s="71" t="s">
        <v>372</v>
      </c>
      <c r="D232" s="70" t="s">
        <v>381</v>
      </c>
      <c r="E232" s="71" t="s">
        <v>425</v>
      </c>
      <c r="F232" s="79">
        <v>39002</v>
      </c>
      <c r="G232" s="71">
        <v>21001</v>
      </c>
      <c r="H232" s="71" t="s">
        <v>453</v>
      </c>
      <c r="I232" s="99">
        <v>10001</v>
      </c>
      <c r="J232" s="71" t="s">
        <v>417</v>
      </c>
    </row>
    <row r="233" spans="1:10" ht="13.15" customHeight="1" x14ac:dyDescent="0.25">
      <c r="A233" s="95">
        <v>18006</v>
      </c>
      <c r="B233" s="96">
        <v>23004</v>
      </c>
      <c r="C233" s="96">
        <v>17010</v>
      </c>
      <c r="D233" s="95">
        <v>10001</v>
      </c>
      <c r="E233" s="96" t="s">
        <v>362</v>
      </c>
      <c r="F233" s="79">
        <v>25007</v>
      </c>
      <c r="G233" s="96">
        <v>26003</v>
      </c>
      <c r="H233" s="96" t="s">
        <v>455</v>
      </c>
      <c r="I233" s="98">
        <v>10003</v>
      </c>
      <c r="J233" s="96" t="s">
        <v>469</v>
      </c>
    </row>
    <row r="234" spans="1:10" ht="13.15" customHeight="1" x14ac:dyDescent="0.25">
      <c r="A234" s="70">
        <v>18009</v>
      </c>
      <c r="B234" s="71">
        <v>39001</v>
      </c>
      <c r="C234" s="71">
        <v>26001</v>
      </c>
      <c r="D234" s="70">
        <v>26006</v>
      </c>
      <c r="E234" s="71" t="s">
        <v>400</v>
      </c>
      <c r="F234" s="79">
        <v>16009</v>
      </c>
      <c r="G234" s="71">
        <v>12009</v>
      </c>
      <c r="H234" s="71" t="s">
        <v>451</v>
      </c>
      <c r="I234" s="99">
        <v>10009</v>
      </c>
      <c r="J234" s="71" t="s">
        <v>455</v>
      </c>
    </row>
    <row r="235" spans="1:10" ht="13.15" customHeight="1" x14ac:dyDescent="0.25">
      <c r="A235" s="95">
        <v>19010</v>
      </c>
      <c r="B235" s="96">
        <v>17001</v>
      </c>
      <c r="C235" s="96">
        <v>21001</v>
      </c>
      <c r="D235" s="95">
        <v>15001</v>
      </c>
      <c r="E235" s="96">
        <v>15004</v>
      </c>
      <c r="F235" s="79" t="s">
        <v>433</v>
      </c>
      <c r="G235" s="96" t="s">
        <v>465</v>
      </c>
      <c r="H235" s="96">
        <v>20001</v>
      </c>
      <c r="I235" s="98">
        <v>26005</v>
      </c>
      <c r="J235" s="96">
        <v>13001</v>
      </c>
    </row>
    <row r="236" spans="1:10" ht="13.15" customHeight="1" x14ac:dyDescent="0.25">
      <c r="A236" s="70">
        <v>21001</v>
      </c>
      <c r="B236" s="71">
        <v>23003</v>
      </c>
      <c r="C236" s="71">
        <v>18001</v>
      </c>
      <c r="D236" s="70">
        <v>26007</v>
      </c>
      <c r="E236" s="71">
        <v>14001</v>
      </c>
      <c r="F236" s="79">
        <v>10009</v>
      </c>
      <c r="G236" s="71">
        <v>12007</v>
      </c>
      <c r="H236" s="71" t="s">
        <v>484</v>
      </c>
      <c r="I236" s="99">
        <v>37001</v>
      </c>
      <c r="J236" s="71">
        <v>25007</v>
      </c>
    </row>
    <row r="237" spans="1:10" ht="13.15" customHeight="1" x14ac:dyDescent="0.25">
      <c r="A237" s="95">
        <v>22005</v>
      </c>
      <c r="B237" s="96">
        <v>25013</v>
      </c>
      <c r="C237" s="96" t="s">
        <v>394</v>
      </c>
      <c r="D237" s="95">
        <v>21001</v>
      </c>
      <c r="E237" s="96" t="s">
        <v>396</v>
      </c>
      <c r="F237" s="79">
        <v>23011</v>
      </c>
      <c r="G237" s="96" t="s">
        <v>367</v>
      </c>
      <c r="H237" s="96" t="s">
        <v>410</v>
      </c>
      <c r="I237" s="98">
        <v>26001</v>
      </c>
      <c r="J237" s="96">
        <v>15005</v>
      </c>
    </row>
    <row r="238" spans="1:10" ht="13.15" customHeight="1" x14ac:dyDescent="0.25">
      <c r="A238" s="70">
        <v>22009</v>
      </c>
      <c r="B238" s="71">
        <v>15009</v>
      </c>
      <c r="C238" s="71" t="s">
        <v>407</v>
      </c>
      <c r="D238" s="70">
        <v>25002</v>
      </c>
      <c r="E238" s="71">
        <v>40001</v>
      </c>
      <c r="F238" s="79">
        <v>10010</v>
      </c>
      <c r="G238" s="71">
        <v>46001</v>
      </c>
      <c r="H238" s="71">
        <v>14001</v>
      </c>
      <c r="I238" s="99">
        <v>28001</v>
      </c>
      <c r="J238" s="71" t="s">
        <v>439</v>
      </c>
    </row>
    <row r="239" spans="1:10" ht="13.15" customHeight="1" x14ac:dyDescent="0.25">
      <c r="A239" s="95">
        <v>23006</v>
      </c>
      <c r="B239" s="96">
        <v>45001</v>
      </c>
      <c r="C239" s="96">
        <v>15009</v>
      </c>
      <c r="D239" s="95" t="s">
        <v>453</v>
      </c>
      <c r="E239" s="96">
        <v>12004</v>
      </c>
      <c r="F239" s="79" t="s">
        <v>410</v>
      </c>
      <c r="G239" s="96">
        <v>16009</v>
      </c>
      <c r="H239" s="96" t="s">
        <v>447</v>
      </c>
      <c r="I239" s="98" t="s">
        <v>429</v>
      </c>
      <c r="J239" s="96">
        <v>15009</v>
      </c>
    </row>
    <row r="240" spans="1:10" ht="13.15" customHeight="1" x14ac:dyDescent="0.25">
      <c r="A240" s="70">
        <v>23007</v>
      </c>
      <c r="B240" s="71" t="s">
        <v>421</v>
      </c>
      <c r="C240" s="71">
        <v>13001</v>
      </c>
      <c r="D240" s="70">
        <v>26005</v>
      </c>
      <c r="E240" s="71">
        <v>25007</v>
      </c>
      <c r="F240" s="79">
        <v>10008</v>
      </c>
      <c r="G240" s="71">
        <v>12002</v>
      </c>
      <c r="H240" s="71">
        <v>15009</v>
      </c>
      <c r="I240" s="99" t="s">
        <v>490</v>
      </c>
      <c r="J240" s="71" t="s">
        <v>449</v>
      </c>
    </row>
    <row r="241" spans="1:10" ht="13.15" customHeight="1" x14ac:dyDescent="0.25">
      <c r="A241" s="95">
        <v>23008</v>
      </c>
      <c r="B241" s="96" t="s">
        <v>423</v>
      </c>
      <c r="C241" s="96" t="s">
        <v>457</v>
      </c>
      <c r="D241" s="95" t="s">
        <v>488</v>
      </c>
      <c r="E241" s="96" t="s">
        <v>383</v>
      </c>
      <c r="F241" s="79">
        <v>25005</v>
      </c>
      <c r="G241" s="96">
        <v>12001</v>
      </c>
      <c r="H241" s="96" t="s">
        <v>459</v>
      </c>
      <c r="I241" s="98" t="s">
        <v>417</v>
      </c>
      <c r="J241" s="96" t="s">
        <v>392</v>
      </c>
    </row>
    <row r="242" spans="1:10" ht="13.15" customHeight="1" x14ac:dyDescent="0.25">
      <c r="A242" s="70">
        <v>25001</v>
      </c>
      <c r="B242" s="71">
        <v>23002</v>
      </c>
      <c r="C242" s="71">
        <v>15005</v>
      </c>
      <c r="D242" s="70">
        <v>25009</v>
      </c>
      <c r="E242" s="71" t="s">
        <v>474</v>
      </c>
      <c r="F242" s="79" t="s">
        <v>427</v>
      </c>
      <c r="G242" s="71" t="s">
        <v>443</v>
      </c>
      <c r="H242" s="71">
        <v>48001</v>
      </c>
      <c r="I242" s="99">
        <v>25007</v>
      </c>
      <c r="J242" s="71" t="s">
        <v>390</v>
      </c>
    </row>
    <row r="243" spans="1:10" ht="13.15" customHeight="1" x14ac:dyDescent="0.25">
      <c r="A243" s="95">
        <v>25006</v>
      </c>
      <c r="B243" s="96">
        <v>13001</v>
      </c>
      <c r="C243" s="96" t="s">
        <v>383</v>
      </c>
      <c r="D243" s="95" t="s">
        <v>486</v>
      </c>
      <c r="E243" s="96">
        <v>12002</v>
      </c>
      <c r="F243" s="79" t="s">
        <v>431</v>
      </c>
      <c r="G243" s="96">
        <v>36002</v>
      </c>
      <c r="H243" s="96">
        <v>25007</v>
      </c>
      <c r="I243" s="98">
        <v>11001</v>
      </c>
      <c r="J243" s="96" t="s">
        <v>453</v>
      </c>
    </row>
    <row r="244" spans="1:10" ht="13.15" customHeight="1" x14ac:dyDescent="0.25">
      <c r="A244" s="70">
        <v>25008</v>
      </c>
      <c r="B244" s="71">
        <v>18009</v>
      </c>
      <c r="C244" s="71">
        <v>13008</v>
      </c>
      <c r="D244" s="70">
        <v>20001</v>
      </c>
      <c r="E244" s="71" t="s">
        <v>413</v>
      </c>
      <c r="F244" s="79">
        <v>11001</v>
      </c>
      <c r="G244" s="71">
        <v>16001</v>
      </c>
      <c r="H244" s="71">
        <v>40001</v>
      </c>
      <c r="I244" s="99" t="s">
        <v>488</v>
      </c>
      <c r="J244" s="71" t="s">
        <v>437</v>
      </c>
    </row>
    <row r="245" spans="1:10" ht="13.15" customHeight="1" x14ac:dyDescent="0.25">
      <c r="A245" s="95">
        <v>25018</v>
      </c>
      <c r="B245" s="96">
        <v>17010</v>
      </c>
      <c r="C245" s="96">
        <v>17009</v>
      </c>
      <c r="D245" s="95" t="s">
        <v>405</v>
      </c>
      <c r="E245" s="96" t="s">
        <v>398</v>
      </c>
      <c r="F245" s="79">
        <v>42001</v>
      </c>
      <c r="G245" s="96">
        <v>37001</v>
      </c>
      <c r="H245" s="96">
        <v>11010</v>
      </c>
      <c r="I245" s="98" t="s">
        <v>413</v>
      </c>
      <c r="J245" s="96" t="s">
        <v>398</v>
      </c>
    </row>
    <row r="246" spans="1:10" ht="13.15" customHeight="1" x14ac:dyDescent="0.25">
      <c r="A246" s="70">
        <v>28002</v>
      </c>
      <c r="B246" s="71">
        <v>15005</v>
      </c>
      <c r="C246" s="71" t="s">
        <v>469</v>
      </c>
      <c r="D246" s="70" t="s">
        <v>410</v>
      </c>
      <c r="E246" s="71">
        <v>26001</v>
      </c>
      <c r="F246" s="79">
        <v>10003</v>
      </c>
      <c r="G246" s="71">
        <v>12005</v>
      </c>
      <c r="H246" s="71" t="s">
        <v>407</v>
      </c>
      <c r="I246" s="99" t="s">
        <v>486</v>
      </c>
      <c r="J246" s="71" t="s">
        <v>435</v>
      </c>
    </row>
    <row r="247" spans="1:10" ht="13.15" customHeight="1" x14ac:dyDescent="0.25">
      <c r="A247" s="95">
        <v>32006</v>
      </c>
      <c r="B247" s="96">
        <v>18006</v>
      </c>
      <c r="C247" s="96">
        <v>18009</v>
      </c>
      <c r="D247" s="95" t="s">
        <v>407</v>
      </c>
      <c r="E247" s="96">
        <v>11001</v>
      </c>
      <c r="F247" s="79">
        <v>50001</v>
      </c>
      <c r="G247" s="96">
        <v>36001</v>
      </c>
      <c r="H247" s="96">
        <v>11001</v>
      </c>
      <c r="I247" s="98">
        <v>27003</v>
      </c>
      <c r="J247" s="96">
        <v>40002</v>
      </c>
    </row>
    <row r="248" spans="1:10" ht="13.15" customHeight="1" x14ac:dyDescent="0.25">
      <c r="A248" s="70">
        <v>40002</v>
      </c>
      <c r="B248" s="71" t="s">
        <v>417</v>
      </c>
      <c r="C248" s="71" t="s">
        <v>417</v>
      </c>
      <c r="D248" s="70" t="s">
        <v>457</v>
      </c>
      <c r="E248" s="71" t="s">
        <v>457</v>
      </c>
      <c r="F248" s="79" t="s">
        <v>492</v>
      </c>
      <c r="G248" s="71" t="s">
        <v>445</v>
      </c>
      <c r="H248" s="71">
        <v>26004</v>
      </c>
      <c r="I248" s="99" t="s">
        <v>482</v>
      </c>
      <c r="J248" s="71">
        <v>11001</v>
      </c>
    </row>
    <row r="249" spans="1:10" ht="13.15" customHeight="1" x14ac:dyDescent="0.25">
      <c r="A249" s="95">
        <v>41001</v>
      </c>
      <c r="B249" s="96" t="s">
        <v>413</v>
      </c>
      <c r="C249" s="96">
        <v>18006</v>
      </c>
      <c r="D249" s="95">
        <v>35001</v>
      </c>
      <c r="E249" s="97">
        <v>27001</v>
      </c>
      <c r="F249" s="79">
        <v>40001</v>
      </c>
      <c r="G249" s="96" t="s">
        <v>472</v>
      </c>
      <c r="H249" s="96" t="s">
        <v>383</v>
      </c>
      <c r="I249" s="98" t="s">
        <v>383</v>
      </c>
      <c r="J249" s="96">
        <v>11010</v>
      </c>
    </row>
    <row r="250" spans="1:10" ht="13.15" customHeight="1" x14ac:dyDescent="0.25">
      <c r="B250" s="71">
        <v>18001</v>
      </c>
      <c r="C250" s="71">
        <v>27001</v>
      </c>
      <c r="D250" s="70">
        <v>40002</v>
      </c>
      <c r="E250" s="71">
        <v>11010</v>
      </c>
      <c r="F250" s="79" t="s">
        <v>413</v>
      </c>
      <c r="G250" s="71" t="s">
        <v>407</v>
      </c>
      <c r="H250" s="71">
        <v>15005</v>
      </c>
      <c r="I250" s="99">
        <v>11010</v>
      </c>
    </row>
    <row r="251" spans="1:10" ht="13.15" customHeight="1" x14ac:dyDescent="0.25">
      <c r="F251" s="79">
        <v>27002</v>
      </c>
      <c r="H251" s="96">
        <v>26001</v>
      </c>
      <c r="I251" s="98" t="s">
        <v>457</v>
      </c>
    </row>
    <row r="252" spans="1:10" ht="13.15" customHeight="1" x14ac:dyDescent="0.25">
      <c r="F252" s="79">
        <v>10005</v>
      </c>
      <c r="H252" s="71" t="s">
        <v>457</v>
      </c>
    </row>
    <row r="253" spans="1:10" ht="13.15" customHeight="1" x14ac:dyDescent="0.25">
      <c r="F253" s="79">
        <v>27001</v>
      </c>
      <c r="H253" s="96">
        <v>27001</v>
      </c>
    </row>
    <row r="254" spans="1:10" ht="13.15" customHeight="1" x14ac:dyDescent="0.25">
      <c r="F254" s="79">
        <v>26004</v>
      </c>
      <c r="H254" s="71">
        <v>13001</v>
      </c>
    </row>
    <row r="255" spans="1:10" ht="13.15" customHeight="1" x14ac:dyDescent="0.25">
      <c r="F255" s="79">
        <v>11010</v>
      </c>
    </row>
  </sheetData>
  <phoneticPr fontId="35" type="noConversion"/>
  <conditionalFormatting sqref="A215:A249">
    <cfRule type="expression" dxfId="0" priority="1">
      <formula>A215=MAX($D:$M)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N210"/>
  <sheetViews>
    <sheetView topLeftCell="B1" workbookViewId="0">
      <pane ySplit="1" topLeftCell="A2" activePane="bottomLeft" state="frozen"/>
      <selection pane="bottomLeft" activeCell="C5" sqref="C5"/>
    </sheetView>
  </sheetViews>
  <sheetFormatPr defaultColWidth="9.69140625" defaultRowHeight="13.15" customHeight="1" x14ac:dyDescent="0.25"/>
  <cols>
    <col min="1" max="1" width="8.69140625" style="1" customWidth="1"/>
    <col min="2" max="2" width="13.84375" style="1" customWidth="1"/>
    <col min="3" max="3" width="13.3046875" style="69" customWidth="1"/>
    <col min="4" max="4" width="11.4609375" style="1" customWidth="1"/>
    <col min="5" max="5" width="9.15234375" style="1" customWidth="1"/>
    <col min="6" max="8" width="9.4609375" style="1" customWidth="1"/>
    <col min="9" max="40" width="9" style="1"/>
  </cols>
  <sheetData>
    <row r="1" spans="1:12" ht="13.15" customHeight="1" x14ac:dyDescent="0.25">
      <c r="A1" s="70" t="s">
        <v>358</v>
      </c>
      <c r="B1" s="70" t="s">
        <v>228</v>
      </c>
      <c r="C1" s="71" t="s">
        <v>318</v>
      </c>
      <c r="D1" s="70" t="s">
        <v>158</v>
      </c>
      <c r="E1" s="70" t="s">
        <v>162</v>
      </c>
      <c r="F1" s="70" t="s">
        <v>166</v>
      </c>
      <c r="G1" s="70" t="s">
        <v>170</v>
      </c>
      <c r="H1" s="70" t="s">
        <v>175</v>
      </c>
      <c r="I1" s="70" t="s">
        <v>178</v>
      </c>
    </row>
    <row r="2" spans="1:12" ht="13.15" customHeight="1" x14ac:dyDescent="0.25">
      <c r="A2" s="70" t="s">
        <v>359</v>
      </c>
      <c r="B2" s="70" t="s">
        <v>360</v>
      </c>
      <c r="C2" s="72" t="s">
        <v>641</v>
      </c>
      <c r="D2" s="73">
        <v>0.05</v>
      </c>
      <c r="E2" s="73">
        <v>0</v>
      </c>
      <c r="F2" s="73">
        <v>0.13</v>
      </c>
      <c r="G2" s="73">
        <v>0</v>
      </c>
      <c r="H2" s="73">
        <v>0.13</v>
      </c>
      <c r="I2" s="74" t="s">
        <v>642</v>
      </c>
      <c r="L2" s="75">
        <f>INDEX(商品税率表!A:I,MATCH(进出口预算表!E6,商品税率表!A:A,0),MATCH(进出口预算表!D17,商品税率表!A1:I1,0))</f>
        <v>0</v>
      </c>
    </row>
    <row r="3" spans="1:12" ht="13.15" customHeight="1" x14ac:dyDescent="0.25">
      <c r="A3" s="70" t="s">
        <v>362</v>
      </c>
      <c r="B3" s="70" t="s">
        <v>363</v>
      </c>
      <c r="C3" s="72" t="s">
        <v>643</v>
      </c>
      <c r="D3" s="73">
        <v>0.15</v>
      </c>
      <c r="E3" s="73">
        <v>0</v>
      </c>
      <c r="F3" s="73">
        <v>0.09</v>
      </c>
      <c r="G3" s="73">
        <v>0</v>
      </c>
      <c r="H3" s="73">
        <v>0.09</v>
      </c>
      <c r="I3" s="74" t="s">
        <v>642</v>
      </c>
    </row>
    <row r="4" spans="1:12" ht="13.15" customHeight="1" x14ac:dyDescent="0.25">
      <c r="A4" s="70" t="s">
        <v>365</v>
      </c>
      <c r="B4" s="70" t="s">
        <v>366</v>
      </c>
      <c r="C4" s="72" t="s">
        <v>643</v>
      </c>
      <c r="D4" s="73">
        <v>0.15</v>
      </c>
      <c r="E4" s="73">
        <v>0</v>
      </c>
      <c r="F4" s="73">
        <v>0.09</v>
      </c>
      <c r="G4" s="73">
        <v>0</v>
      </c>
      <c r="H4" s="73">
        <v>0.09</v>
      </c>
      <c r="I4" s="74" t="s">
        <v>642</v>
      </c>
    </row>
    <row r="5" spans="1:12" ht="13.15" customHeight="1" x14ac:dyDescent="0.25">
      <c r="A5" s="70" t="s">
        <v>367</v>
      </c>
      <c r="B5" s="70" t="s">
        <v>368</v>
      </c>
      <c r="C5" s="72" t="s">
        <v>644</v>
      </c>
      <c r="D5" s="73">
        <v>0.15</v>
      </c>
      <c r="E5" s="73">
        <v>0</v>
      </c>
      <c r="F5" s="73">
        <v>0.09</v>
      </c>
      <c r="G5" s="73">
        <v>0</v>
      </c>
      <c r="H5" s="73">
        <v>0</v>
      </c>
      <c r="I5" s="74" t="s">
        <v>642</v>
      </c>
    </row>
    <row r="6" spans="1:12" ht="13.15" customHeight="1" x14ac:dyDescent="0.25">
      <c r="A6" s="70" t="s">
        <v>370</v>
      </c>
      <c r="B6" s="70" t="s">
        <v>371</v>
      </c>
      <c r="C6" s="72" t="s">
        <v>645</v>
      </c>
      <c r="D6" s="73">
        <v>0.05</v>
      </c>
      <c r="E6" s="73">
        <v>0</v>
      </c>
      <c r="F6" s="73">
        <v>0.13</v>
      </c>
      <c r="G6" s="73">
        <v>0</v>
      </c>
      <c r="H6" s="73">
        <v>0.09</v>
      </c>
      <c r="I6" s="74" t="s">
        <v>642</v>
      </c>
    </row>
    <row r="7" spans="1:12" ht="13.15" customHeight="1" x14ac:dyDescent="0.25">
      <c r="A7" s="70" t="s">
        <v>372</v>
      </c>
      <c r="B7" s="70" t="s">
        <v>373</v>
      </c>
      <c r="C7" s="72" t="s">
        <v>646</v>
      </c>
      <c r="D7" s="73">
        <v>0.05</v>
      </c>
      <c r="E7" s="73">
        <v>0</v>
      </c>
      <c r="F7" s="73">
        <v>0.13</v>
      </c>
      <c r="G7" s="73">
        <v>0</v>
      </c>
      <c r="H7" s="73">
        <v>0.13</v>
      </c>
      <c r="I7" s="74" t="s">
        <v>642</v>
      </c>
    </row>
    <row r="8" spans="1:12" ht="13.15" customHeight="1" x14ac:dyDescent="0.25">
      <c r="A8" s="70" t="s">
        <v>374</v>
      </c>
      <c r="B8" s="70" t="s">
        <v>375</v>
      </c>
      <c r="C8" s="72" t="s">
        <v>647</v>
      </c>
      <c r="D8" s="73">
        <v>0.05</v>
      </c>
      <c r="E8" s="73">
        <v>0</v>
      </c>
      <c r="F8" s="73">
        <v>0.13</v>
      </c>
      <c r="G8" s="73">
        <v>0</v>
      </c>
      <c r="H8" s="73">
        <v>0.13</v>
      </c>
      <c r="I8" s="74" t="s">
        <v>642</v>
      </c>
    </row>
    <row r="9" spans="1:12" ht="13.15" customHeight="1" x14ac:dyDescent="0.25">
      <c r="A9" s="70" t="s">
        <v>376</v>
      </c>
      <c r="B9" s="70" t="s">
        <v>377</v>
      </c>
      <c r="C9" s="72" t="s">
        <v>648</v>
      </c>
      <c r="D9" s="73">
        <v>0.05</v>
      </c>
      <c r="E9" s="73">
        <v>0</v>
      </c>
      <c r="F9" s="73">
        <v>0.13</v>
      </c>
      <c r="G9" s="73">
        <v>0</v>
      </c>
      <c r="H9" s="73">
        <v>0.09</v>
      </c>
      <c r="I9" s="74" t="s">
        <v>642</v>
      </c>
    </row>
    <row r="10" spans="1:12" ht="13.15" customHeight="1" x14ac:dyDescent="0.25">
      <c r="A10" s="70" t="s">
        <v>378</v>
      </c>
      <c r="B10" s="70" t="s">
        <v>379</v>
      </c>
      <c r="C10" s="72" t="s">
        <v>649</v>
      </c>
      <c r="D10" s="73">
        <v>0.14000000000000001</v>
      </c>
      <c r="E10" s="73">
        <v>0</v>
      </c>
      <c r="F10" s="73">
        <v>0.13</v>
      </c>
      <c r="G10" s="73">
        <v>0.1</v>
      </c>
      <c r="H10" s="73">
        <v>0.13</v>
      </c>
      <c r="I10" s="74" t="s">
        <v>642</v>
      </c>
    </row>
    <row r="11" spans="1:12" ht="13.15" customHeight="1" x14ac:dyDescent="0.25">
      <c r="A11" s="70" t="s">
        <v>381</v>
      </c>
      <c r="B11" s="70" t="s">
        <v>382</v>
      </c>
      <c r="C11" s="72" t="s">
        <v>649</v>
      </c>
      <c r="D11" s="73">
        <v>0.14000000000000001</v>
      </c>
      <c r="E11" s="73">
        <v>0</v>
      </c>
      <c r="F11" s="73">
        <v>0.13</v>
      </c>
      <c r="G11" s="73">
        <v>0.1</v>
      </c>
      <c r="H11" s="73">
        <v>0.13</v>
      </c>
      <c r="I11" s="74" t="s">
        <v>642</v>
      </c>
    </row>
    <row r="12" spans="1:12" ht="13.15" customHeight="1" x14ac:dyDescent="0.25">
      <c r="A12" s="70" t="s">
        <v>383</v>
      </c>
      <c r="B12" s="70" t="s">
        <v>384</v>
      </c>
      <c r="C12" s="72" t="s">
        <v>650</v>
      </c>
      <c r="D12" s="73">
        <v>0.05</v>
      </c>
      <c r="E12" s="73">
        <v>0</v>
      </c>
      <c r="F12" s="73">
        <v>0.13</v>
      </c>
      <c r="G12" s="73">
        <v>0</v>
      </c>
      <c r="H12" s="73">
        <v>0.13</v>
      </c>
      <c r="I12" s="74" t="s">
        <v>642</v>
      </c>
    </row>
    <row r="13" spans="1:12" ht="13.15" customHeight="1" x14ac:dyDescent="0.25">
      <c r="A13" s="70" t="s">
        <v>385</v>
      </c>
      <c r="B13" s="70" t="s">
        <v>386</v>
      </c>
      <c r="C13" s="72" t="s">
        <v>651</v>
      </c>
      <c r="D13" s="73">
        <v>0.05</v>
      </c>
      <c r="E13" s="73">
        <v>0</v>
      </c>
      <c r="F13" s="73">
        <v>0.13</v>
      </c>
      <c r="G13" s="73">
        <v>0</v>
      </c>
      <c r="H13" s="73">
        <v>0</v>
      </c>
      <c r="I13" s="74" t="s">
        <v>642</v>
      </c>
    </row>
    <row r="14" spans="1:12" ht="13.15" customHeight="1" x14ac:dyDescent="0.25">
      <c r="A14" s="70" t="s">
        <v>387</v>
      </c>
      <c r="B14" s="70" t="s">
        <v>388</v>
      </c>
      <c r="C14" s="72" t="s">
        <v>652</v>
      </c>
      <c r="D14" s="73">
        <v>0.15</v>
      </c>
      <c r="E14" s="73">
        <v>0</v>
      </c>
      <c r="F14" s="73">
        <v>0.09</v>
      </c>
      <c r="G14" s="73">
        <v>0</v>
      </c>
      <c r="H14" s="73">
        <v>0.09</v>
      </c>
      <c r="I14" s="74" t="s">
        <v>642</v>
      </c>
    </row>
    <row r="15" spans="1:12" ht="13.15" customHeight="1" x14ac:dyDescent="0.25">
      <c r="A15" s="70" t="s">
        <v>390</v>
      </c>
      <c r="B15" s="70" t="s">
        <v>391</v>
      </c>
      <c r="C15" s="72" t="s">
        <v>653</v>
      </c>
      <c r="D15" s="73">
        <v>0.05</v>
      </c>
      <c r="E15" s="73">
        <v>0</v>
      </c>
      <c r="F15" s="73">
        <v>0.13</v>
      </c>
      <c r="G15" s="73">
        <v>0</v>
      </c>
      <c r="H15" s="73">
        <v>0.13</v>
      </c>
      <c r="I15" s="74" t="s">
        <v>642</v>
      </c>
    </row>
    <row r="16" spans="1:12" ht="13.15" customHeight="1" x14ac:dyDescent="0.25">
      <c r="A16" s="70" t="s">
        <v>392</v>
      </c>
      <c r="B16" s="70" t="s">
        <v>393</v>
      </c>
      <c r="C16" s="72" t="s">
        <v>653</v>
      </c>
      <c r="D16" s="73">
        <v>0.05</v>
      </c>
      <c r="E16" s="73">
        <v>0</v>
      </c>
      <c r="F16" s="73">
        <v>0.13</v>
      </c>
      <c r="G16" s="73">
        <v>0</v>
      </c>
      <c r="H16" s="73">
        <v>0.13</v>
      </c>
      <c r="I16" s="74" t="s">
        <v>642</v>
      </c>
    </row>
    <row r="17" spans="1:9" ht="13.15" customHeight="1" x14ac:dyDescent="0.25">
      <c r="A17" s="70" t="s">
        <v>394</v>
      </c>
      <c r="B17" s="70" t="s">
        <v>395</v>
      </c>
      <c r="C17" s="72" t="s">
        <v>654</v>
      </c>
      <c r="D17" s="73">
        <v>0.05</v>
      </c>
      <c r="E17" s="73">
        <v>0</v>
      </c>
      <c r="F17" s="73">
        <v>0.13</v>
      </c>
      <c r="G17" s="73">
        <v>0</v>
      </c>
      <c r="H17" s="73">
        <v>0.13</v>
      </c>
      <c r="I17" s="74" t="s">
        <v>642</v>
      </c>
    </row>
    <row r="18" spans="1:9" ht="13.15" customHeight="1" x14ac:dyDescent="0.25">
      <c r="A18" s="70" t="s">
        <v>396</v>
      </c>
      <c r="B18" s="70" t="s">
        <v>397</v>
      </c>
      <c r="C18" s="72" t="s">
        <v>655</v>
      </c>
      <c r="D18" s="73">
        <v>0.1</v>
      </c>
      <c r="E18" s="73">
        <v>0</v>
      </c>
      <c r="F18" s="73">
        <v>0.13</v>
      </c>
      <c r="G18" s="73">
        <v>0</v>
      </c>
      <c r="H18" s="73">
        <v>0.13</v>
      </c>
      <c r="I18" s="74" t="s">
        <v>656</v>
      </c>
    </row>
    <row r="19" spans="1:9" ht="13.15" customHeight="1" x14ac:dyDescent="0.25">
      <c r="A19" s="70" t="s">
        <v>398</v>
      </c>
      <c r="B19" s="70" t="s">
        <v>399</v>
      </c>
      <c r="C19" s="72" t="s">
        <v>657</v>
      </c>
      <c r="D19" s="73">
        <v>0.08</v>
      </c>
      <c r="E19" s="73">
        <v>0</v>
      </c>
      <c r="F19" s="73">
        <v>0.13</v>
      </c>
      <c r="G19" s="73">
        <v>0</v>
      </c>
      <c r="H19" s="73">
        <v>0.13</v>
      </c>
      <c r="I19" s="74" t="s">
        <v>642</v>
      </c>
    </row>
    <row r="20" spans="1:9" ht="13.15" customHeight="1" x14ac:dyDescent="0.25">
      <c r="A20" s="70" t="s">
        <v>400</v>
      </c>
      <c r="B20" s="70" t="s">
        <v>401</v>
      </c>
      <c r="C20" s="72" t="s">
        <v>658</v>
      </c>
      <c r="D20" s="73">
        <v>0.1</v>
      </c>
      <c r="E20" s="73">
        <v>0</v>
      </c>
      <c r="F20" s="73">
        <v>0.13</v>
      </c>
      <c r="G20" s="73">
        <v>0</v>
      </c>
      <c r="H20" s="73">
        <v>0.13</v>
      </c>
      <c r="I20" s="74" t="s">
        <v>642</v>
      </c>
    </row>
    <row r="21" spans="1:9" ht="13.15" customHeight="1" x14ac:dyDescent="0.25">
      <c r="A21" s="70" t="s">
        <v>403</v>
      </c>
      <c r="B21" s="70" t="s">
        <v>404</v>
      </c>
      <c r="C21" s="72" t="s">
        <v>659</v>
      </c>
      <c r="D21" s="73">
        <v>0.1</v>
      </c>
      <c r="E21" s="73">
        <v>0</v>
      </c>
      <c r="F21" s="73">
        <v>0.13</v>
      </c>
      <c r="G21" s="73">
        <v>0</v>
      </c>
      <c r="H21" s="73">
        <v>0.13</v>
      </c>
      <c r="I21" s="74" t="s">
        <v>642</v>
      </c>
    </row>
    <row r="22" spans="1:9" ht="13.15" customHeight="1" x14ac:dyDescent="0.25">
      <c r="A22" s="70" t="s">
        <v>405</v>
      </c>
      <c r="B22" s="70" t="s">
        <v>406</v>
      </c>
      <c r="C22" s="72" t="s">
        <v>660</v>
      </c>
      <c r="D22" s="73">
        <v>0.15</v>
      </c>
      <c r="E22" s="73">
        <v>0</v>
      </c>
      <c r="F22" s="73">
        <v>0.09</v>
      </c>
      <c r="G22" s="73">
        <v>0</v>
      </c>
      <c r="H22" s="73">
        <v>0.09</v>
      </c>
      <c r="I22" s="74" t="s">
        <v>656</v>
      </c>
    </row>
    <row r="23" spans="1:9" ht="13.15" customHeight="1" x14ac:dyDescent="0.25">
      <c r="A23" s="70" t="s">
        <v>407</v>
      </c>
      <c r="B23" s="70" t="s">
        <v>408</v>
      </c>
      <c r="C23" s="72" t="s">
        <v>661</v>
      </c>
      <c r="D23" s="73">
        <v>0.06</v>
      </c>
      <c r="E23" s="73">
        <v>0</v>
      </c>
      <c r="F23" s="73">
        <v>0.13</v>
      </c>
      <c r="G23" s="73">
        <v>0</v>
      </c>
      <c r="H23" s="73">
        <v>0.13</v>
      </c>
      <c r="I23" s="74" t="s">
        <v>662</v>
      </c>
    </row>
    <row r="24" spans="1:9" ht="13.15" customHeight="1" x14ac:dyDescent="0.25">
      <c r="A24" s="70" t="s">
        <v>410</v>
      </c>
      <c r="B24" s="70" t="s">
        <v>411</v>
      </c>
      <c r="C24" s="72" t="s">
        <v>663</v>
      </c>
      <c r="D24" s="73">
        <v>0.06</v>
      </c>
      <c r="E24" s="73">
        <v>0</v>
      </c>
      <c r="F24" s="73">
        <v>0.13</v>
      </c>
      <c r="G24" s="73">
        <v>0</v>
      </c>
      <c r="H24" s="73">
        <v>0.13</v>
      </c>
      <c r="I24" s="74" t="s">
        <v>662</v>
      </c>
    </row>
    <row r="25" spans="1:9" ht="13.15" customHeight="1" x14ac:dyDescent="0.25">
      <c r="A25" s="70" t="s">
        <v>413</v>
      </c>
      <c r="B25" s="70" t="s">
        <v>414</v>
      </c>
      <c r="C25" s="72" t="s">
        <v>664</v>
      </c>
      <c r="D25" s="73">
        <v>0.06</v>
      </c>
      <c r="E25" s="73">
        <v>0</v>
      </c>
      <c r="F25" s="73">
        <v>0.13</v>
      </c>
      <c r="G25" s="73">
        <v>0</v>
      </c>
      <c r="H25" s="73">
        <v>0.13</v>
      </c>
      <c r="I25" s="74"/>
    </row>
    <row r="26" spans="1:9" ht="13.15" customHeight="1" x14ac:dyDescent="0.25">
      <c r="A26" s="70" t="s">
        <v>415</v>
      </c>
      <c r="B26" s="70" t="s">
        <v>416</v>
      </c>
      <c r="C26" s="72" t="s">
        <v>665</v>
      </c>
      <c r="D26" s="73">
        <v>0.06</v>
      </c>
      <c r="E26" s="73">
        <v>0</v>
      </c>
      <c r="F26" s="73">
        <v>0.13</v>
      </c>
      <c r="G26" s="73">
        <v>0</v>
      </c>
      <c r="H26" s="73">
        <v>0.13</v>
      </c>
      <c r="I26" s="74"/>
    </row>
    <row r="27" spans="1:9" ht="13.15" customHeight="1" x14ac:dyDescent="0.25">
      <c r="A27" s="70" t="s">
        <v>417</v>
      </c>
      <c r="B27" s="70" t="s">
        <v>418</v>
      </c>
      <c r="C27" s="72" t="s">
        <v>666</v>
      </c>
      <c r="D27" s="73">
        <v>0.06</v>
      </c>
      <c r="E27" s="73">
        <v>0</v>
      </c>
      <c r="F27" s="73">
        <v>0.13</v>
      </c>
      <c r="G27" s="73">
        <v>0</v>
      </c>
      <c r="H27" s="73">
        <v>0.13</v>
      </c>
      <c r="I27" s="74" t="s">
        <v>662</v>
      </c>
    </row>
    <row r="28" spans="1:9" ht="13.15" customHeight="1" x14ac:dyDescent="0.25">
      <c r="A28" s="70" t="s">
        <v>419</v>
      </c>
      <c r="B28" s="70" t="s">
        <v>420</v>
      </c>
      <c r="C28" s="72" t="s">
        <v>665</v>
      </c>
      <c r="D28" s="73">
        <v>0.06</v>
      </c>
      <c r="E28" s="73">
        <v>0</v>
      </c>
      <c r="F28" s="73">
        <v>0.13</v>
      </c>
      <c r="G28" s="73">
        <v>0</v>
      </c>
      <c r="H28" s="73">
        <v>0.13</v>
      </c>
      <c r="I28" s="74"/>
    </row>
    <row r="29" spans="1:9" ht="13.15" customHeight="1" x14ac:dyDescent="0.25">
      <c r="A29" s="70" t="s">
        <v>421</v>
      </c>
      <c r="B29" s="70" t="s">
        <v>422</v>
      </c>
      <c r="C29" s="72" t="s">
        <v>667</v>
      </c>
      <c r="D29" s="73">
        <v>0.06</v>
      </c>
      <c r="E29" s="73">
        <v>0</v>
      </c>
      <c r="F29" s="73">
        <v>0.13</v>
      </c>
      <c r="G29" s="73">
        <v>0</v>
      </c>
      <c r="H29" s="73">
        <v>0.13</v>
      </c>
      <c r="I29" s="74"/>
    </row>
    <row r="30" spans="1:9" ht="13.15" customHeight="1" x14ac:dyDescent="0.25">
      <c r="A30" s="70" t="s">
        <v>423</v>
      </c>
      <c r="B30" s="70" t="s">
        <v>424</v>
      </c>
      <c r="C30" s="72" t="s">
        <v>668</v>
      </c>
      <c r="D30" s="73">
        <v>0.06</v>
      </c>
      <c r="E30" s="73">
        <v>0</v>
      </c>
      <c r="F30" s="73">
        <v>0.13</v>
      </c>
      <c r="G30" s="73">
        <v>0</v>
      </c>
      <c r="H30" s="73">
        <v>0.13</v>
      </c>
      <c r="I30" s="74"/>
    </row>
    <row r="31" spans="1:9" ht="13.15" customHeight="1" x14ac:dyDescent="0.25">
      <c r="A31" s="70" t="s">
        <v>425</v>
      </c>
      <c r="B31" s="70" t="s">
        <v>426</v>
      </c>
      <c r="C31" s="72" t="s">
        <v>669</v>
      </c>
      <c r="D31" s="73">
        <v>0.06</v>
      </c>
      <c r="E31" s="73">
        <v>0</v>
      </c>
      <c r="F31" s="73">
        <v>0.13</v>
      </c>
      <c r="G31" s="73">
        <v>0</v>
      </c>
      <c r="H31" s="73">
        <v>0.13</v>
      </c>
      <c r="I31" s="74"/>
    </row>
    <row r="32" spans="1:9" ht="13.15" customHeight="1" x14ac:dyDescent="0.25">
      <c r="A32" s="70" t="s">
        <v>427</v>
      </c>
      <c r="B32" s="70" t="s">
        <v>428</v>
      </c>
      <c r="C32" s="72" t="s">
        <v>670</v>
      </c>
      <c r="D32" s="73">
        <v>0.06</v>
      </c>
      <c r="E32" s="73">
        <v>0</v>
      </c>
      <c r="F32" s="73">
        <v>0.13</v>
      </c>
      <c r="G32" s="73">
        <v>0</v>
      </c>
      <c r="H32" s="73">
        <v>0.13</v>
      </c>
      <c r="I32" s="74"/>
    </row>
    <row r="33" spans="1:9" ht="13.15" customHeight="1" x14ac:dyDescent="0.25">
      <c r="A33" s="70" t="s">
        <v>429</v>
      </c>
      <c r="B33" s="70" t="s">
        <v>430</v>
      </c>
      <c r="C33" s="72" t="s">
        <v>671</v>
      </c>
      <c r="D33" s="73">
        <v>0.06</v>
      </c>
      <c r="E33" s="73">
        <v>0</v>
      </c>
      <c r="F33" s="73">
        <v>0.13</v>
      </c>
      <c r="G33" s="73">
        <v>0</v>
      </c>
      <c r="H33" s="73">
        <v>0.13</v>
      </c>
      <c r="I33" s="74" t="s">
        <v>662</v>
      </c>
    </row>
    <row r="34" spans="1:9" ht="13.15" customHeight="1" x14ac:dyDescent="0.25">
      <c r="A34" s="70" t="s">
        <v>431</v>
      </c>
      <c r="B34" s="70" t="s">
        <v>432</v>
      </c>
      <c r="C34" s="72" t="s">
        <v>672</v>
      </c>
      <c r="D34" s="73">
        <v>0.15</v>
      </c>
      <c r="E34" s="73">
        <v>0</v>
      </c>
      <c r="F34" s="73">
        <v>0.13</v>
      </c>
      <c r="G34" s="73">
        <v>0</v>
      </c>
      <c r="H34" s="73">
        <v>0.13</v>
      </c>
      <c r="I34" s="74"/>
    </row>
    <row r="35" spans="1:9" ht="13.15" customHeight="1" x14ac:dyDescent="0.25">
      <c r="A35" s="70" t="s">
        <v>433</v>
      </c>
      <c r="B35" s="70" t="s">
        <v>434</v>
      </c>
      <c r="C35" s="72" t="s">
        <v>673</v>
      </c>
      <c r="D35" s="73">
        <v>0</v>
      </c>
      <c r="E35" s="73">
        <v>0</v>
      </c>
      <c r="F35" s="73">
        <v>0.13</v>
      </c>
      <c r="G35" s="73">
        <v>0</v>
      </c>
      <c r="H35" s="73">
        <v>0.1</v>
      </c>
      <c r="I35" s="74" t="s">
        <v>642</v>
      </c>
    </row>
    <row r="36" spans="1:9" ht="13.15" customHeight="1" x14ac:dyDescent="0.25">
      <c r="A36" s="70" t="s">
        <v>435</v>
      </c>
      <c r="B36" s="70" t="s">
        <v>436</v>
      </c>
      <c r="C36" s="72" t="s">
        <v>674</v>
      </c>
      <c r="D36" s="73">
        <v>0</v>
      </c>
      <c r="E36" s="73">
        <v>0</v>
      </c>
      <c r="F36" s="73">
        <v>0.13</v>
      </c>
      <c r="G36" s="73">
        <v>0</v>
      </c>
      <c r="H36" s="73">
        <v>0.13</v>
      </c>
      <c r="I36" s="74" t="s">
        <v>642</v>
      </c>
    </row>
    <row r="37" spans="1:9" ht="13.15" customHeight="1" x14ac:dyDescent="0.25">
      <c r="A37" s="70" t="s">
        <v>437</v>
      </c>
      <c r="B37" s="70" t="s">
        <v>438</v>
      </c>
      <c r="C37" s="72" t="s">
        <v>674</v>
      </c>
      <c r="D37" s="73">
        <v>0</v>
      </c>
      <c r="E37" s="73">
        <v>0</v>
      </c>
      <c r="F37" s="73">
        <v>0.13</v>
      </c>
      <c r="G37" s="73">
        <v>0</v>
      </c>
      <c r="H37" s="73">
        <v>0.13</v>
      </c>
      <c r="I37" s="74" t="s">
        <v>642</v>
      </c>
    </row>
    <row r="38" spans="1:9" ht="13.15" customHeight="1" x14ac:dyDescent="0.25">
      <c r="A38" s="70" t="s">
        <v>439</v>
      </c>
      <c r="B38" s="70" t="s">
        <v>440</v>
      </c>
      <c r="C38" s="72">
        <v>4420109090</v>
      </c>
      <c r="D38" s="73">
        <v>0</v>
      </c>
      <c r="E38" s="73">
        <v>0</v>
      </c>
      <c r="F38" s="73">
        <v>0.13</v>
      </c>
      <c r="G38" s="73">
        <v>0</v>
      </c>
      <c r="H38" s="73">
        <v>0.13</v>
      </c>
      <c r="I38" s="74" t="s">
        <v>642</v>
      </c>
    </row>
    <row r="39" spans="1:9" ht="13.15" customHeight="1" x14ac:dyDescent="0.25">
      <c r="A39" s="70" t="s">
        <v>441</v>
      </c>
      <c r="B39" s="70" t="s">
        <v>442</v>
      </c>
      <c r="C39" s="72">
        <v>4420109090</v>
      </c>
      <c r="D39" s="73">
        <v>0</v>
      </c>
      <c r="E39" s="73">
        <v>0</v>
      </c>
      <c r="F39" s="73">
        <v>0.13</v>
      </c>
      <c r="G39" s="73">
        <v>0</v>
      </c>
      <c r="H39" s="73">
        <v>0.13</v>
      </c>
      <c r="I39" s="74" t="s">
        <v>642</v>
      </c>
    </row>
    <row r="40" spans="1:9" ht="13.15" customHeight="1" x14ac:dyDescent="0.25">
      <c r="A40" s="70" t="s">
        <v>443</v>
      </c>
      <c r="B40" s="70" t="s">
        <v>444</v>
      </c>
      <c r="C40" s="72">
        <v>4420109090</v>
      </c>
      <c r="D40" s="73">
        <v>0</v>
      </c>
      <c r="E40" s="73">
        <v>0</v>
      </c>
      <c r="F40" s="73">
        <v>0.13</v>
      </c>
      <c r="G40" s="73">
        <v>0</v>
      </c>
      <c r="H40" s="73">
        <v>0.13</v>
      </c>
      <c r="I40" s="74" t="s">
        <v>642</v>
      </c>
    </row>
    <row r="41" spans="1:9" ht="13.15" customHeight="1" x14ac:dyDescent="0.25">
      <c r="A41" s="70" t="s">
        <v>445</v>
      </c>
      <c r="B41" s="70" t="s">
        <v>446</v>
      </c>
      <c r="C41" s="72">
        <v>4420109090</v>
      </c>
      <c r="D41" s="73">
        <v>0</v>
      </c>
      <c r="E41" s="73">
        <v>0</v>
      </c>
      <c r="F41" s="73">
        <v>0.13</v>
      </c>
      <c r="G41" s="73">
        <v>0</v>
      </c>
      <c r="H41" s="73">
        <v>0.13</v>
      </c>
      <c r="I41" s="74" t="s">
        <v>642</v>
      </c>
    </row>
    <row r="42" spans="1:9" ht="13.15" customHeight="1" x14ac:dyDescent="0.25">
      <c r="A42" s="70" t="s">
        <v>447</v>
      </c>
      <c r="B42" s="70" t="s">
        <v>448</v>
      </c>
      <c r="C42" s="72" t="s">
        <v>674</v>
      </c>
      <c r="D42" s="73">
        <v>0</v>
      </c>
      <c r="E42" s="73">
        <v>0</v>
      </c>
      <c r="F42" s="73">
        <v>0.13</v>
      </c>
      <c r="G42" s="73">
        <v>0</v>
      </c>
      <c r="H42" s="73">
        <v>0.13</v>
      </c>
      <c r="I42" s="74" t="s">
        <v>642</v>
      </c>
    </row>
    <row r="43" spans="1:9" ht="13.15" customHeight="1" x14ac:dyDescent="0.25">
      <c r="A43" s="70" t="s">
        <v>449</v>
      </c>
      <c r="B43" s="70" t="s">
        <v>450</v>
      </c>
      <c r="C43" s="72" t="s">
        <v>675</v>
      </c>
      <c r="D43" s="73">
        <v>0.08</v>
      </c>
      <c r="E43" s="73">
        <v>0</v>
      </c>
      <c r="F43" s="73">
        <v>0.13</v>
      </c>
      <c r="G43" s="73">
        <v>0</v>
      </c>
      <c r="H43" s="73">
        <v>0.09</v>
      </c>
      <c r="I43" s="74"/>
    </row>
    <row r="44" spans="1:9" ht="13.15" customHeight="1" x14ac:dyDescent="0.25">
      <c r="A44" s="70" t="s">
        <v>451</v>
      </c>
      <c r="B44" s="70" t="s">
        <v>452</v>
      </c>
      <c r="C44" s="72" t="s">
        <v>676</v>
      </c>
      <c r="D44" s="73">
        <v>7.0000000000000007E-2</v>
      </c>
      <c r="E44" s="73">
        <v>0</v>
      </c>
      <c r="F44" s="73">
        <v>0.13</v>
      </c>
      <c r="G44" s="73">
        <v>0</v>
      </c>
      <c r="H44" s="73">
        <v>0.13</v>
      </c>
      <c r="I44" s="74" t="s">
        <v>662</v>
      </c>
    </row>
    <row r="45" spans="1:9" ht="13.15" customHeight="1" x14ac:dyDescent="0.25">
      <c r="A45" s="70" t="s">
        <v>453</v>
      </c>
      <c r="B45" s="70" t="s">
        <v>454</v>
      </c>
      <c r="C45" s="72" t="s">
        <v>677</v>
      </c>
      <c r="D45" s="73">
        <v>7.0000000000000007E-2</v>
      </c>
      <c r="E45" s="73">
        <v>0</v>
      </c>
      <c r="F45" s="73">
        <v>0.13</v>
      </c>
      <c r="G45" s="73">
        <v>0</v>
      </c>
      <c r="H45" s="73">
        <v>0.13</v>
      </c>
      <c r="I45" s="74"/>
    </row>
    <row r="46" spans="1:9" ht="13.15" customHeight="1" x14ac:dyDescent="0.25">
      <c r="A46" s="70" t="s">
        <v>455</v>
      </c>
      <c r="B46" s="70" t="s">
        <v>456</v>
      </c>
      <c r="C46" s="72" t="s">
        <v>678</v>
      </c>
      <c r="D46" s="73">
        <v>7.0000000000000007E-2</v>
      </c>
      <c r="E46" s="73">
        <v>0</v>
      </c>
      <c r="F46" s="73">
        <v>0.13</v>
      </c>
      <c r="G46" s="73">
        <v>0</v>
      </c>
      <c r="H46" s="73">
        <v>0.13</v>
      </c>
      <c r="I46" s="74"/>
    </row>
    <row r="47" spans="1:9" ht="13.15" customHeight="1" x14ac:dyDescent="0.25">
      <c r="A47" s="70" t="s">
        <v>457</v>
      </c>
      <c r="B47" s="70" t="s">
        <v>458</v>
      </c>
      <c r="C47" s="72" t="s">
        <v>679</v>
      </c>
      <c r="D47" s="73">
        <v>0.08</v>
      </c>
      <c r="E47" s="73">
        <v>0</v>
      </c>
      <c r="F47" s="73">
        <v>0.13</v>
      </c>
      <c r="G47" s="73">
        <v>0</v>
      </c>
      <c r="H47" s="73">
        <v>0.13</v>
      </c>
      <c r="I47" s="74"/>
    </row>
    <row r="48" spans="1:9" ht="13.15" customHeight="1" x14ac:dyDescent="0.25">
      <c r="A48" s="70" t="s">
        <v>459</v>
      </c>
      <c r="B48" s="70" t="s">
        <v>460</v>
      </c>
      <c r="C48" s="72" t="s">
        <v>680</v>
      </c>
      <c r="D48" s="73">
        <v>0.04</v>
      </c>
      <c r="E48" s="73">
        <v>0</v>
      </c>
      <c r="F48" s="73">
        <v>0.13</v>
      </c>
      <c r="G48" s="73">
        <v>0</v>
      </c>
      <c r="H48" s="73">
        <v>0</v>
      </c>
      <c r="I48" s="74" t="s">
        <v>681</v>
      </c>
    </row>
    <row r="49" spans="1:9" ht="13.15" customHeight="1" x14ac:dyDescent="0.25">
      <c r="A49" s="70" t="s">
        <v>461</v>
      </c>
      <c r="B49" s="70" t="s">
        <v>462</v>
      </c>
      <c r="C49" s="72" t="s">
        <v>682</v>
      </c>
      <c r="D49" s="73">
        <v>0.09</v>
      </c>
      <c r="E49" s="73">
        <v>0</v>
      </c>
      <c r="F49" s="73">
        <v>0.13</v>
      </c>
      <c r="G49" s="73">
        <v>0</v>
      </c>
      <c r="H49" s="73">
        <v>0.1</v>
      </c>
      <c r="I49" s="74"/>
    </row>
    <row r="50" spans="1:9" ht="13.15" customHeight="1" x14ac:dyDescent="0.25">
      <c r="A50" s="70" t="s">
        <v>463</v>
      </c>
      <c r="B50" s="70" t="s">
        <v>464</v>
      </c>
      <c r="C50" s="72" t="s">
        <v>683</v>
      </c>
      <c r="D50" s="73">
        <v>6.5000000000000002E-2</v>
      </c>
      <c r="E50" s="73">
        <v>0</v>
      </c>
      <c r="F50" s="73">
        <v>0.13</v>
      </c>
      <c r="G50" s="73">
        <v>0</v>
      </c>
      <c r="H50" s="73">
        <v>0.13</v>
      </c>
      <c r="I50" s="74"/>
    </row>
    <row r="51" spans="1:9" ht="13.15" customHeight="1" x14ac:dyDescent="0.25">
      <c r="A51" s="70" t="s">
        <v>465</v>
      </c>
      <c r="B51" s="70" t="s">
        <v>466</v>
      </c>
      <c r="C51" s="72" t="s">
        <v>684</v>
      </c>
      <c r="D51" s="73">
        <v>0.1</v>
      </c>
      <c r="E51" s="73">
        <v>0</v>
      </c>
      <c r="F51" s="73">
        <v>0.13</v>
      </c>
      <c r="G51" s="73">
        <v>0</v>
      </c>
      <c r="H51" s="73">
        <v>0</v>
      </c>
      <c r="I51" s="74" t="s">
        <v>662</v>
      </c>
    </row>
    <row r="52" spans="1:9" ht="13.15" customHeight="1" x14ac:dyDescent="0.25">
      <c r="A52" s="70" t="s">
        <v>467</v>
      </c>
      <c r="B52" s="70" t="s">
        <v>468</v>
      </c>
      <c r="C52" s="72" t="s">
        <v>685</v>
      </c>
      <c r="D52" s="73">
        <v>0.1</v>
      </c>
      <c r="E52" s="73">
        <v>0</v>
      </c>
      <c r="F52" s="73">
        <v>0.13</v>
      </c>
      <c r="G52" s="73">
        <v>0</v>
      </c>
      <c r="H52" s="73">
        <v>0.13</v>
      </c>
      <c r="I52" s="74"/>
    </row>
    <row r="53" spans="1:9" ht="13.15" customHeight="1" x14ac:dyDescent="0.25">
      <c r="A53" s="70" t="s">
        <v>469</v>
      </c>
      <c r="B53" s="70" t="s">
        <v>470</v>
      </c>
      <c r="C53" s="72" t="s">
        <v>686</v>
      </c>
      <c r="D53" s="73">
        <v>0</v>
      </c>
      <c r="E53" s="73">
        <v>0</v>
      </c>
      <c r="F53" s="73">
        <v>0.13</v>
      </c>
      <c r="G53" s="73">
        <v>0</v>
      </c>
      <c r="H53" s="73">
        <v>0.13</v>
      </c>
      <c r="I53" s="74"/>
    </row>
    <row r="54" spans="1:9" ht="13.15" customHeight="1" x14ac:dyDescent="0.25">
      <c r="A54" s="70" t="s">
        <v>472</v>
      </c>
      <c r="B54" s="70" t="s">
        <v>473</v>
      </c>
      <c r="C54" s="72" t="s">
        <v>687</v>
      </c>
      <c r="D54" s="73">
        <v>0</v>
      </c>
      <c r="E54" s="73">
        <v>0</v>
      </c>
      <c r="F54" s="73">
        <v>0.13</v>
      </c>
      <c r="G54" s="73">
        <v>0</v>
      </c>
      <c r="H54" s="73">
        <v>0.13</v>
      </c>
      <c r="I54" s="74" t="s">
        <v>662</v>
      </c>
    </row>
    <row r="55" spans="1:9" ht="13.15" customHeight="1" x14ac:dyDescent="0.25">
      <c r="A55" s="70" t="s">
        <v>474</v>
      </c>
      <c r="B55" s="70" t="s">
        <v>475</v>
      </c>
      <c r="C55" s="72" t="s">
        <v>688</v>
      </c>
      <c r="D55" s="73">
        <v>0</v>
      </c>
      <c r="E55" s="73">
        <v>0</v>
      </c>
      <c r="F55" s="73">
        <v>0.13</v>
      </c>
      <c r="G55" s="73">
        <v>0</v>
      </c>
      <c r="H55" s="73">
        <v>0.13</v>
      </c>
      <c r="I55" s="74" t="s">
        <v>662</v>
      </c>
    </row>
    <row r="56" spans="1:9" ht="13.15" customHeight="1" x14ac:dyDescent="0.25">
      <c r="A56" s="70" t="s">
        <v>476</v>
      </c>
      <c r="B56" s="70" t="s">
        <v>477</v>
      </c>
      <c r="C56" s="72" t="s">
        <v>686</v>
      </c>
      <c r="D56" s="73">
        <v>0</v>
      </c>
      <c r="E56" s="73">
        <v>0</v>
      </c>
      <c r="F56" s="73">
        <v>0.13</v>
      </c>
      <c r="G56" s="73">
        <v>0</v>
      </c>
      <c r="H56" s="73">
        <v>0.13</v>
      </c>
      <c r="I56" s="74"/>
    </row>
    <row r="57" spans="1:9" ht="13.15" customHeight="1" x14ac:dyDescent="0.25">
      <c r="A57" s="70" t="s">
        <v>478</v>
      </c>
      <c r="B57" s="70" t="s">
        <v>479</v>
      </c>
      <c r="C57" s="72">
        <v>9503001000</v>
      </c>
      <c r="D57" s="73">
        <v>0</v>
      </c>
      <c r="E57" s="73">
        <v>0</v>
      </c>
      <c r="F57" s="73">
        <v>0.13</v>
      </c>
      <c r="G57" s="73">
        <v>0</v>
      </c>
      <c r="H57" s="73">
        <v>0.13</v>
      </c>
      <c r="I57" s="74"/>
    </row>
    <row r="58" spans="1:9" ht="13.15" customHeight="1" x14ac:dyDescent="0.25">
      <c r="A58" s="70" t="s">
        <v>480</v>
      </c>
      <c r="B58" s="70" t="s">
        <v>481</v>
      </c>
      <c r="C58" s="72" t="s">
        <v>687</v>
      </c>
      <c r="D58" s="73">
        <v>0</v>
      </c>
      <c r="E58" s="73">
        <v>0</v>
      </c>
      <c r="F58" s="73">
        <v>0.13</v>
      </c>
      <c r="G58" s="73">
        <v>0</v>
      </c>
      <c r="H58" s="73">
        <v>0.13</v>
      </c>
      <c r="I58" s="74" t="s">
        <v>662</v>
      </c>
    </row>
    <row r="59" spans="1:9" ht="13.15" customHeight="1" x14ac:dyDescent="0.25">
      <c r="A59" s="70" t="s">
        <v>482</v>
      </c>
      <c r="B59" s="70" t="s">
        <v>483</v>
      </c>
      <c r="C59" s="72" t="s">
        <v>689</v>
      </c>
      <c r="D59" s="73">
        <v>0</v>
      </c>
      <c r="E59" s="73">
        <v>0</v>
      </c>
      <c r="F59" s="73">
        <v>0.13</v>
      </c>
      <c r="G59" s="73">
        <v>0</v>
      </c>
      <c r="H59" s="73">
        <v>0.13</v>
      </c>
      <c r="I59" s="74" t="s">
        <v>662</v>
      </c>
    </row>
    <row r="60" spans="1:9" ht="13.15" customHeight="1" x14ac:dyDescent="0.25">
      <c r="A60" s="70" t="s">
        <v>484</v>
      </c>
      <c r="B60" s="70" t="s">
        <v>485</v>
      </c>
      <c r="C60" s="72" t="s">
        <v>690</v>
      </c>
      <c r="D60" s="73">
        <v>0.06</v>
      </c>
      <c r="E60" s="73">
        <v>0</v>
      </c>
      <c r="F60" s="73">
        <v>0.13</v>
      </c>
      <c r="G60" s="73">
        <v>0</v>
      </c>
      <c r="H60" s="73">
        <v>0.13</v>
      </c>
      <c r="I60" s="74"/>
    </row>
    <row r="61" spans="1:9" ht="13.15" customHeight="1" x14ac:dyDescent="0.25">
      <c r="A61" s="70" t="s">
        <v>486</v>
      </c>
      <c r="B61" s="70" t="s">
        <v>487</v>
      </c>
      <c r="C61" s="72" t="s">
        <v>691</v>
      </c>
      <c r="D61" s="73">
        <v>7.0000000000000007E-2</v>
      </c>
      <c r="E61" s="73">
        <v>0</v>
      </c>
      <c r="F61" s="73">
        <v>0.13</v>
      </c>
      <c r="G61" s="73">
        <v>0</v>
      </c>
      <c r="H61" s="73">
        <v>0.13</v>
      </c>
      <c r="I61" s="74"/>
    </row>
    <row r="62" spans="1:9" ht="13.15" customHeight="1" x14ac:dyDescent="0.25">
      <c r="A62" s="70" t="s">
        <v>488</v>
      </c>
      <c r="B62" s="70" t="s">
        <v>489</v>
      </c>
      <c r="C62" s="72" t="s">
        <v>692</v>
      </c>
      <c r="D62" s="73">
        <v>7.0000000000000007E-2</v>
      </c>
      <c r="E62" s="73">
        <v>0</v>
      </c>
      <c r="F62" s="73">
        <v>0.13</v>
      </c>
      <c r="G62" s="73">
        <v>0</v>
      </c>
      <c r="H62" s="73">
        <v>0.13</v>
      </c>
      <c r="I62" s="74"/>
    </row>
    <row r="63" spans="1:9" ht="13.15" customHeight="1" x14ac:dyDescent="0.25">
      <c r="A63" s="70" t="s">
        <v>490</v>
      </c>
      <c r="B63" s="70" t="s">
        <v>491</v>
      </c>
      <c r="C63" s="72" t="s">
        <v>693</v>
      </c>
      <c r="D63" s="73">
        <v>0.1</v>
      </c>
      <c r="E63" s="73">
        <v>0</v>
      </c>
      <c r="F63" s="73">
        <v>0.13</v>
      </c>
      <c r="G63" s="73">
        <v>0</v>
      </c>
      <c r="H63" s="73">
        <v>0.13</v>
      </c>
      <c r="I63" s="74"/>
    </row>
    <row r="64" spans="1:9" ht="13.15" customHeight="1" x14ac:dyDescent="0.25">
      <c r="A64" s="70" t="s">
        <v>492</v>
      </c>
      <c r="B64" s="70" t="s">
        <v>493</v>
      </c>
      <c r="C64" s="72" t="s">
        <v>694</v>
      </c>
      <c r="D64" s="73">
        <v>0</v>
      </c>
      <c r="E64" s="73">
        <v>0</v>
      </c>
      <c r="F64" s="73">
        <v>0.13</v>
      </c>
      <c r="G64" s="73">
        <v>0</v>
      </c>
      <c r="H64" s="73">
        <v>0.13</v>
      </c>
      <c r="I64" s="74" t="s">
        <v>695</v>
      </c>
    </row>
    <row r="65" spans="1:9" ht="13.15" customHeight="1" x14ac:dyDescent="0.25">
      <c r="A65" s="70">
        <v>10001</v>
      </c>
      <c r="B65" s="70" t="s">
        <v>494</v>
      </c>
      <c r="C65" s="72" t="s">
        <v>696</v>
      </c>
      <c r="D65" s="73">
        <v>0.05</v>
      </c>
      <c r="E65" s="73">
        <v>0</v>
      </c>
      <c r="F65" s="73">
        <v>0.13</v>
      </c>
      <c r="G65" s="76">
        <v>0.15</v>
      </c>
      <c r="H65" s="73">
        <v>0.13</v>
      </c>
      <c r="I65" s="74" t="s">
        <v>642</v>
      </c>
    </row>
    <row r="66" spans="1:9" ht="13.15" customHeight="1" x14ac:dyDescent="0.25">
      <c r="A66" s="70">
        <v>10003</v>
      </c>
      <c r="B66" s="70" t="s">
        <v>495</v>
      </c>
      <c r="C66" s="72" t="s">
        <v>697</v>
      </c>
      <c r="D66" s="73">
        <v>0.05</v>
      </c>
      <c r="E66" s="73">
        <v>0</v>
      </c>
      <c r="F66" s="73">
        <v>0.13</v>
      </c>
      <c r="G66" s="76">
        <v>0.15</v>
      </c>
      <c r="H66" s="73">
        <v>0.13</v>
      </c>
      <c r="I66" s="74" t="s">
        <v>642</v>
      </c>
    </row>
    <row r="67" spans="1:9" ht="13.15" customHeight="1" x14ac:dyDescent="0.25">
      <c r="A67" s="70">
        <v>10004</v>
      </c>
      <c r="B67" s="70" t="s">
        <v>496</v>
      </c>
      <c r="C67" s="72" t="s">
        <v>698</v>
      </c>
      <c r="D67" s="73">
        <v>0.03</v>
      </c>
      <c r="E67" s="73">
        <v>0</v>
      </c>
      <c r="F67" s="73">
        <v>0.13</v>
      </c>
      <c r="G67" s="76">
        <v>0.15</v>
      </c>
      <c r="H67" s="73">
        <v>0.13</v>
      </c>
      <c r="I67" s="74" t="s">
        <v>642</v>
      </c>
    </row>
    <row r="68" spans="1:9" ht="13.15" customHeight="1" x14ac:dyDescent="0.25">
      <c r="A68" s="70">
        <v>10005</v>
      </c>
      <c r="B68" s="70" t="s">
        <v>497</v>
      </c>
      <c r="C68" s="72" t="s">
        <v>697</v>
      </c>
      <c r="D68" s="73">
        <v>0.05</v>
      </c>
      <c r="E68" s="73">
        <v>0</v>
      </c>
      <c r="F68" s="73">
        <v>0.13</v>
      </c>
      <c r="G68" s="76">
        <v>0.15</v>
      </c>
      <c r="H68" s="73">
        <v>0.13</v>
      </c>
      <c r="I68" s="74" t="s">
        <v>642</v>
      </c>
    </row>
    <row r="69" spans="1:9" ht="13.15" customHeight="1" x14ac:dyDescent="0.25">
      <c r="A69" s="70">
        <v>10007</v>
      </c>
      <c r="B69" s="70" t="s">
        <v>498</v>
      </c>
      <c r="C69" s="72" t="s">
        <v>697</v>
      </c>
      <c r="D69" s="73">
        <v>0.05</v>
      </c>
      <c r="E69" s="73">
        <v>0</v>
      </c>
      <c r="F69" s="73">
        <v>0.13</v>
      </c>
      <c r="G69" s="73">
        <v>0.15</v>
      </c>
      <c r="H69" s="73">
        <v>0.13</v>
      </c>
      <c r="I69" s="74" t="s">
        <v>642</v>
      </c>
    </row>
    <row r="70" spans="1:9" ht="13.15" customHeight="1" x14ac:dyDescent="0.25">
      <c r="A70" s="70">
        <v>10008</v>
      </c>
      <c r="B70" s="70" t="s">
        <v>499</v>
      </c>
      <c r="C70" s="72" t="s">
        <v>696</v>
      </c>
      <c r="D70" s="73">
        <v>0.05</v>
      </c>
      <c r="E70" s="73">
        <v>0</v>
      </c>
      <c r="F70" s="73">
        <v>0.13</v>
      </c>
      <c r="G70" s="73">
        <v>0.15</v>
      </c>
      <c r="H70" s="73">
        <v>0.13</v>
      </c>
      <c r="I70" s="74" t="s">
        <v>642</v>
      </c>
    </row>
    <row r="71" spans="1:9" ht="13.15" customHeight="1" x14ac:dyDescent="0.25">
      <c r="A71" s="70">
        <v>10009</v>
      </c>
      <c r="B71" s="70" t="s">
        <v>500</v>
      </c>
      <c r="C71" s="72" t="s">
        <v>699</v>
      </c>
      <c r="D71" s="73">
        <v>0.05</v>
      </c>
      <c r="E71" s="73">
        <v>0</v>
      </c>
      <c r="F71" s="73">
        <v>0.13</v>
      </c>
      <c r="G71" s="73">
        <v>0.15</v>
      </c>
      <c r="H71" s="73">
        <v>0.13</v>
      </c>
      <c r="I71" s="74" t="s">
        <v>642</v>
      </c>
    </row>
    <row r="72" spans="1:9" ht="13.15" customHeight="1" x14ac:dyDescent="0.25">
      <c r="A72" s="70">
        <v>10010</v>
      </c>
      <c r="B72" s="70" t="s">
        <v>501</v>
      </c>
      <c r="C72" s="72" t="s">
        <v>700</v>
      </c>
      <c r="D72" s="73">
        <v>0.05</v>
      </c>
      <c r="E72" s="73">
        <v>0</v>
      </c>
      <c r="F72" s="73">
        <v>0.13</v>
      </c>
      <c r="G72" s="73">
        <v>0.15</v>
      </c>
      <c r="H72" s="73">
        <v>0.13</v>
      </c>
      <c r="I72" s="74" t="s">
        <v>642</v>
      </c>
    </row>
    <row r="73" spans="1:9" ht="13.15" customHeight="1" x14ac:dyDescent="0.25">
      <c r="A73" s="70">
        <v>10011</v>
      </c>
      <c r="B73" s="70" t="s">
        <v>502</v>
      </c>
      <c r="C73" s="72" t="s">
        <v>701</v>
      </c>
      <c r="D73" s="73">
        <v>0.06</v>
      </c>
      <c r="E73" s="73">
        <v>0</v>
      </c>
      <c r="F73" s="73">
        <v>0.13</v>
      </c>
      <c r="G73" s="73">
        <v>0</v>
      </c>
      <c r="H73" s="73">
        <v>0.13</v>
      </c>
      <c r="I73" s="74"/>
    </row>
    <row r="74" spans="1:9" ht="13.15" customHeight="1" x14ac:dyDescent="0.25">
      <c r="A74" s="70">
        <v>11001</v>
      </c>
      <c r="B74" s="70" t="s">
        <v>503</v>
      </c>
      <c r="C74" s="72" t="s">
        <v>702</v>
      </c>
      <c r="D74" s="73">
        <v>0</v>
      </c>
      <c r="E74" s="73">
        <v>0</v>
      </c>
      <c r="F74" s="73">
        <v>0.13</v>
      </c>
      <c r="G74" s="73">
        <v>0</v>
      </c>
      <c r="H74" s="73">
        <v>0.13</v>
      </c>
      <c r="I74" s="74"/>
    </row>
    <row r="75" spans="1:9" ht="13.15" customHeight="1" x14ac:dyDescent="0.25">
      <c r="A75" s="70">
        <v>11010</v>
      </c>
      <c r="B75" s="70" t="s">
        <v>504</v>
      </c>
      <c r="C75" s="72" t="s">
        <v>702</v>
      </c>
      <c r="D75" s="73">
        <v>0</v>
      </c>
      <c r="E75" s="73">
        <v>0</v>
      </c>
      <c r="F75" s="73">
        <v>0.13</v>
      </c>
      <c r="G75" s="73">
        <v>0</v>
      </c>
      <c r="H75" s="73">
        <v>0.13</v>
      </c>
      <c r="I75" s="74"/>
    </row>
    <row r="76" spans="1:9" ht="13.15" customHeight="1" x14ac:dyDescent="0.25">
      <c r="A76" s="70">
        <v>12001</v>
      </c>
      <c r="B76" s="70" t="s">
        <v>505</v>
      </c>
      <c r="C76" s="72" t="s">
        <v>703</v>
      </c>
      <c r="D76" s="73">
        <v>7.0000000000000007E-2</v>
      </c>
      <c r="E76" s="73">
        <v>0</v>
      </c>
      <c r="F76" s="73">
        <v>0.13</v>
      </c>
      <c r="G76" s="73">
        <v>0</v>
      </c>
      <c r="H76" s="73">
        <v>0.13</v>
      </c>
      <c r="I76" s="74" t="s">
        <v>662</v>
      </c>
    </row>
    <row r="77" spans="1:9" ht="13.15" customHeight="1" x14ac:dyDescent="0.25">
      <c r="A77" s="70">
        <v>12002</v>
      </c>
      <c r="B77" s="70" t="s">
        <v>506</v>
      </c>
      <c r="C77" s="72">
        <v>6911101900</v>
      </c>
      <c r="D77" s="73">
        <v>7.0000000000000007E-2</v>
      </c>
      <c r="E77" s="73">
        <v>0</v>
      </c>
      <c r="F77" s="73">
        <v>0.13</v>
      </c>
      <c r="G77" s="73">
        <v>0</v>
      </c>
      <c r="H77" s="73">
        <v>0.13</v>
      </c>
      <c r="I77" s="74" t="s">
        <v>662</v>
      </c>
    </row>
    <row r="78" spans="1:9" ht="13.15" customHeight="1" x14ac:dyDescent="0.25">
      <c r="A78" s="70">
        <v>12004</v>
      </c>
      <c r="B78" s="70" t="s">
        <v>507</v>
      </c>
      <c r="C78" s="72">
        <v>6911101900</v>
      </c>
      <c r="D78" s="73">
        <v>7.0000000000000007E-2</v>
      </c>
      <c r="E78" s="73">
        <v>0</v>
      </c>
      <c r="F78" s="73">
        <v>0.13</v>
      </c>
      <c r="G78" s="73">
        <v>0</v>
      </c>
      <c r="H78" s="73">
        <v>0.13</v>
      </c>
      <c r="I78" s="74" t="s">
        <v>662</v>
      </c>
    </row>
    <row r="79" spans="1:9" ht="13.15" customHeight="1" x14ac:dyDescent="0.25">
      <c r="A79" s="70">
        <v>12005</v>
      </c>
      <c r="B79" s="70" t="s">
        <v>508</v>
      </c>
      <c r="C79" s="72">
        <v>6911101900</v>
      </c>
      <c r="D79" s="73">
        <v>7.0000000000000007E-2</v>
      </c>
      <c r="E79" s="73">
        <v>0</v>
      </c>
      <c r="F79" s="73">
        <v>0.13</v>
      </c>
      <c r="G79" s="73">
        <v>0</v>
      </c>
      <c r="H79" s="73">
        <v>0.13</v>
      </c>
      <c r="I79" s="74" t="s">
        <v>662</v>
      </c>
    </row>
    <row r="80" spans="1:9" ht="13.15" customHeight="1" x14ac:dyDescent="0.25">
      <c r="A80" s="70">
        <v>12006</v>
      </c>
      <c r="B80" s="70" t="s">
        <v>509</v>
      </c>
      <c r="C80" s="72">
        <v>6911101900</v>
      </c>
      <c r="D80" s="73">
        <v>7.0000000000000007E-2</v>
      </c>
      <c r="E80" s="73">
        <v>0</v>
      </c>
      <c r="F80" s="73">
        <v>0.13</v>
      </c>
      <c r="G80" s="73">
        <v>0</v>
      </c>
      <c r="H80" s="73">
        <v>0.13</v>
      </c>
      <c r="I80" s="74" t="s">
        <v>662</v>
      </c>
    </row>
    <row r="81" spans="1:9" ht="13.15" customHeight="1" x14ac:dyDescent="0.25">
      <c r="A81" s="70">
        <v>12007</v>
      </c>
      <c r="B81" s="70" t="s">
        <v>510</v>
      </c>
      <c r="C81" s="72">
        <v>6911101900</v>
      </c>
      <c r="D81" s="73">
        <v>7.0000000000000007E-2</v>
      </c>
      <c r="E81" s="73">
        <v>0</v>
      </c>
      <c r="F81" s="73">
        <v>0.13</v>
      </c>
      <c r="G81" s="73">
        <v>0</v>
      </c>
      <c r="H81" s="73">
        <v>0.13</v>
      </c>
      <c r="I81" s="74" t="s">
        <v>662</v>
      </c>
    </row>
    <row r="82" spans="1:9" ht="13.15" customHeight="1" x14ac:dyDescent="0.25">
      <c r="A82" s="70">
        <v>12008</v>
      </c>
      <c r="B82" s="70" t="s">
        <v>511</v>
      </c>
      <c r="C82" s="72">
        <v>6911101900</v>
      </c>
      <c r="D82" s="73">
        <v>7.0000000000000007E-2</v>
      </c>
      <c r="E82" s="73">
        <v>0</v>
      </c>
      <c r="F82" s="73">
        <v>0.13</v>
      </c>
      <c r="G82" s="73">
        <v>0</v>
      </c>
      <c r="H82" s="73">
        <v>0.13</v>
      </c>
      <c r="I82" s="74" t="s">
        <v>662</v>
      </c>
    </row>
    <row r="83" spans="1:9" ht="13.15" customHeight="1" x14ac:dyDescent="0.25">
      <c r="A83" s="70">
        <v>12009</v>
      </c>
      <c r="B83" s="70" t="s">
        <v>512</v>
      </c>
      <c r="C83" s="72">
        <v>6911101900</v>
      </c>
      <c r="D83" s="73">
        <v>7.0000000000000007E-2</v>
      </c>
      <c r="E83" s="73">
        <v>0</v>
      </c>
      <c r="F83" s="73">
        <v>0.13</v>
      </c>
      <c r="G83" s="73">
        <v>0</v>
      </c>
      <c r="H83" s="73">
        <v>0.13</v>
      </c>
      <c r="I83" s="74" t="s">
        <v>662</v>
      </c>
    </row>
    <row r="84" spans="1:9" ht="13.15" customHeight="1" x14ac:dyDescent="0.25">
      <c r="A84" s="70">
        <v>12010</v>
      </c>
      <c r="B84" s="70" t="s">
        <v>513</v>
      </c>
      <c r="C84" s="72">
        <v>6911101900</v>
      </c>
      <c r="D84" s="73">
        <v>7.0000000000000007E-2</v>
      </c>
      <c r="E84" s="73">
        <v>0</v>
      </c>
      <c r="F84" s="73">
        <v>0.13</v>
      </c>
      <c r="G84" s="73">
        <v>0</v>
      </c>
      <c r="H84" s="73">
        <v>0.13</v>
      </c>
      <c r="I84" s="74" t="s">
        <v>662</v>
      </c>
    </row>
    <row r="85" spans="1:9" ht="13.15" customHeight="1" x14ac:dyDescent="0.25">
      <c r="A85" s="70">
        <v>13001</v>
      </c>
      <c r="B85" s="70" t="s">
        <v>514</v>
      </c>
      <c r="C85" s="72" t="s">
        <v>704</v>
      </c>
      <c r="D85" s="73">
        <v>0.04</v>
      </c>
      <c r="E85" s="73">
        <v>0</v>
      </c>
      <c r="F85" s="73">
        <v>0.13</v>
      </c>
      <c r="G85" s="73">
        <v>0</v>
      </c>
      <c r="H85" s="73">
        <v>0.13</v>
      </c>
      <c r="I85" s="74"/>
    </row>
    <row r="86" spans="1:9" ht="13.15" customHeight="1" x14ac:dyDescent="0.25">
      <c r="A86" s="70">
        <v>13008</v>
      </c>
      <c r="B86" s="70" t="s">
        <v>515</v>
      </c>
      <c r="C86" s="72" t="s">
        <v>705</v>
      </c>
      <c r="D86" s="73">
        <v>0.06</v>
      </c>
      <c r="E86" s="73">
        <v>0</v>
      </c>
      <c r="F86" s="73">
        <v>0.13</v>
      </c>
      <c r="G86" s="73">
        <v>0</v>
      </c>
      <c r="H86" s="73">
        <v>0.13</v>
      </c>
      <c r="I86" s="74"/>
    </row>
    <row r="87" spans="1:9" ht="13.15" customHeight="1" x14ac:dyDescent="0.25">
      <c r="A87" s="70">
        <v>14001</v>
      </c>
      <c r="B87" s="70" t="s">
        <v>516</v>
      </c>
      <c r="C87" s="77" t="s">
        <v>706</v>
      </c>
      <c r="D87" s="76">
        <v>6.5000000000000002E-2</v>
      </c>
      <c r="E87" s="73">
        <v>0</v>
      </c>
      <c r="F87" s="73">
        <v>0.13</v>
      </c>
      <c r="G87" s="73">
        <v>0</v>
      </c>
      <c r="H87" s="73">
        <v>0.13</v>
      </c>
      <c r="I87" s="81" t="s">
        <v>642</v>
      </c>
    </row>
    <row r="88" spans="1:9" ht="13.15" customHeight="1" x14ac:dyDescent="0.25">
      <c r="A88" s="70">
        <v>14009</v>
      </c>
      <c r="B88" s="70" t="s">
        <v>517</v>
      </c>
      <c r="C88" s="72" t="s">
        <v>707</v>
      </c>
      <c r="D88" s="73">
        <v>0.06</v>
      </c>
      <c r="E88" s="73">
        <v>0</v>
      </c>
      <c r="F88" s="73">
        <v>0.13</v>
      </c>
      <c r="G88" s="73">
        <v>0</v>
      </c>
      <c r="H88" s="73">
        <v>0.13</v>
      </c>
      <c r="I88" s="74"/>
    </row>
    <row r="89" spans="1:9" ht="13.15" customHeight="1" x14ac:dyDescent="0.25">
      <c r="A89" s="70">
        <v>14010</v>
      </c>
      <c r="B89" s="70" t="s">
        <v>518</v>
      </c>
      <c r="C89" s="72" t="s">
        <v>707</v>
      </c>
      <c r="D89" s="73">
        <v>0.06</v>
      </c>
      <c r="E89" s="73">
        <v>0</v>
      </c>
      <c r="F89" s="73">
        <v>0.13</v>
      </c>
      <c r="G89" s="73">
        <v>0</v>
      </c>
      <c r="H89" s="73">
        <v>0.13</v>
      </c>
      <c r="I89" s="74" t="s">
        <v>642</v>
      </c>
    </row>
    <row r="90" spans="1:9" ht="13.15" customHeight="1" x14ac:dyDescent="0.25">
      <c r="A90" s="70">
        <v>15001</v>
      </c>
      <c r="B90" s="70" t="s">
        <v>519</v>
      </c>
      <c r="C90" s="72" t="s">
        <v>708</v>
      </c>
      <c r="D90" s="73">
        <v>0.06</v>
      </c>
      <c r="E90" s="73">
        <v>0</v>
      </c>
      <c r="F90" s="73">
        <v>0.13</v>
      </c>
      <c r="G90" s="73">
        <v>0</v>
      </c>
      <c r="H90" s="73">
        <v>0.13</v>
      </c>
      <c r="I90" s="74"/>
    </row>
    <row r="91" spans="1:9" ht="13.15" customHeight="1" x14ac:dyDescent="0.25">
      <c r="A91" s="70">
        <v>15002</v>
      </c>
      <c r="B91" s="70" t="s">
        <v>520</v>
      </c>
      <c r="C91" s="72" t="s">
        <v>709</v>
      </c>
      <c r="D91" s="73">
        <v>0.06</v>
      </c>
      <c r="E91" s="73">
        <v>0</v>
      </c>
      <c r="F91" s="73">
        <v>0.13</v>
      </c>
      <c r="G91" s="73">
        <v>0</v>
      </c>
      <c r="H91" s="73">
        <v>0.13</v>
      </c>
      <c r="I91" s="81" t="s">
        <v>642</v>
      </c>
    </row>
    <row r="92" spans="1:9" ht="13.15" customHeight="1" x14ac:dyDescent="0.25">
      <c r="A92" s="70">
        <v>15003</v>
      </c>
      <c r="B92" s="70" t="s">
        <v>521</v>
      </c>
      <c r="C92" s="72" t="s">
        <v>708</v>
      </c>
      <c r="D92" s="73">
        <v>0.06</v>
      </c>
      <c r="E92" s="73">
        <v>0</v>
      </c>
      <c r="F92" s="73">
        <v>0.13</v>
      </c>
      <c r="G92" s="73">
        <v>0</v>
      </c>
      <c r="H92" s="73">
        <v>0.13</v>
      </c>
      <c r="I92" s="74"/>
    </row>
    <row r="93" spans="1:9" ht="13.15" customHeight="1" x14ac:dyDescent="0.25">
      <c r="A93" s="70">
        <v>15004</v>
      </c>
      <c r="B93" s="70" t="s">
        <v>522</v>
      </c>
      <c r="C93" s="72">
        <v>4202220000</v>
      </c>
      <c r="D93" s="73">
        <v>0.06</v>
      </c>
      <c r="E93" s="73">
        <v>0</v>
      </c>
      <c r="F93" s="73">
        <v>0.13</v>
      </c>
      <c r="G93" s="73">
        <v>0</v>
      </c>
      <c r="H93" s="73">
        <v>0.13</v>
      </c>
      <c r="I93" s="74"/>
    </row>
    <row r="94" spans="1:9" ht="13.15" customHeight="1" x14ac:dyDescent="0.25">
      <c r="A94" s="70">
        <v>15005</v>
      </c>
      <c r="B94" s="70" t="s">
        <v>523</v>
      </c>
      <c r="C94" s="72">
        <v>4202119090</v>
      </c>
      <c r="D94" s="73">
        <v>0.06</v>
      </c>
      <c r="E94" s="73">
        <v>0</v>
      </c>
      <c r="F94" s="73">
        <v>0.13</v>
      </c>
      <c r="G94" s="73">
        <v>0</v>
      </c>
      <c r="H94" s="73">
        <v>0.13</v>
      </c>
      <c r="I94" s="74"/>
    </row>
    <row r="95" spans="1:9" ht="13.15" customHeight="1" x14ac:dyDescent="0.25">
      <c r="A95" s="70">
        <v>15008</v>
      </c>
      <c r="B95" s="70" t="s">
        <v>524</v>
      </c>
      <c r="C95" s="72" t="s">
        <v>710</v>
      </c>
      <c r="D95" s="73">
        <v>0.06</v>
      </c>
      <c r="E95" s="73">
        <v>0</v>
      </c>
      <c r="F95" s="73">
        <v>0.13</v>
      </c>
      <c r="G95" s="73">
        <v>0</v>
      </c>
      <c r="H95" s="73">
        <v>0.13</v>
      </c>
      <c r="I95" s="74"/>
    </row>
    <row r="96" spans="1:9" ht="13.15" customHeight="1" x14ac:dyDescent="0.25">
      <c r="A96" s="70">
        <v>15009</v>
      </c>
      <c r="B96" s="70" t="s">
        <v>525</v>
      </c>
      <c r="C96" s="72" t="s">
        <v>711</v>
      </c>
      <c r="D96" s="73">
        <v>0.1</v>
      </c>
      <c r="E96" s="73">
        <v>0</v>
      </c>
      <c r="F96" s="73">
        <v>0.13</v>
      </c>
      <c r="G96" s="73">
        <v>0</v>
      </c>
      <c r="H96" s="73">
        <v>0.13</v>
      </c>
      <c r="I96" s="74"/>
    </row>
    <row r="97" spans="1:11" ht="13.15" customHeight="1" x14ac:dyDescent="0.25">
      <c r="A97" s="70">
        <v>16001</v>
      </c>
      <c r="B97" s="70" t="s">
        <v>526</v>
      </c>
      <c r="C97" s="77" t="s">
        <v>712</v>
      </c>
      <c r="D97" s="73">
        <v>7.0000000000000007E-2</v>
      </c>
      <c r="E97" s="73">
        <v>0</v>
      </c>
      <c r="F97" s="73">
        <v>0.13</v>
      </c>
      <c r="G97" s="73">
        <v>0</v>
      </c>
      <c r="H97" s="73">
        <v>0.13</v>
      </c>
      <c r="I97" s="74" t="s">
        <v>642</v>
      </c>
      <c r="K97" s="1">
        <v>0.01</v>
      </c>
    </row>
    <row r="98" spans="1:11" ht="13.15" customHeight="1" x14ac:dyDescent="0.25">
      <c r="A98" s="70">
        <v>16008</v>
      </c>
      <c r="B98" s="70" t="s">
        <v>527</v>
      </c>
      <c r="C98" s="72" t="s">
        <v>713</v>
      </c>
      <c r="D98" s="73">
        <v>7.0000000000000007E-2</v>
      </c>
      <c r="E98" s="73">
        <v>0</v>
      </c>
      <c r="F98" s="73">
        <v>0.13</v>
      </c>
      <c r="G98" s="73">
        <v>0</v>
      </c>
      <c r="H98" s="73">
        <v>0.13</v>
      </c>
      <c r="I98" s="74" t="s">
        <v>642</v>
      </c>
    </row>
    <row r="99" spans="1:11" ht="13.15" customHeight="1" x14ac:dyDescent="0.25">
      <c r="A99" s="70">
        <v>16009</v>
      </c>
      <c r="B99" s="70" t="s">
        <v>528</v>
      </c>
      <c r="C99" s="72">
        <v>4601210000</v>
      </c>
      <c r="D99" s="73">
        <v>7.0000000000000007E-2</v>
      </c>
      <c r="E99" s="73">
        <v>0</v>
      </c>
      <c r="F99" s="73">
        <v>0.13</v>
      </c>
      <c r="G99" s="73">
        <v>0</v>
      </c>
      <c r="H99" s="73">
        <v>0.13</v>
      </c>
      <c r="I99" s="74" t="s">
        <v>642</v>
      </c>
    </row>
    <row r="100" spans="1:11" ht="13.15" customHeight="1" x14ac:dyDescent="0.25">
      <c r="A100" s="70">
        <v>17001</v>
      </c>
      <c r="B100" s="70" t="s">
        <v>529</v>
      </c>
      <c r="C100" s="77" t="s">
        <v>714</v>
      </c>
      <c r="D100" s="76">
        <v>0.06</v>
      </c>
      <c r="E100" s="73">
        <v>0</v>
      </c>
      <c r="F100" s="73">
        <v>0.13</v>
      </c>
      <c r="G100" s="73">
        <v>0</v>
      </c>
      <c r="H100" s="73">
        <v>0.13</v>
      </c>
      <c r="I100" s="74"/>
    </row>
    <row r="101" spans="1:11" ht="13.15" customHeight="1" x14ac:dyDescent="0.25">
      <c r="A101" s="70">
        <v>17002</v>
      </c>
      <c r="B101" s="70" t="s">
        <v>530</v>
      </c>
      <c r="C101" s="72" t="s">
        <v>715</v>
      </c>
      <c r="D101" s="73">
        <v>0.06</v>
      </c>
      <c r="E101" s="73">
        <v>0</v>
      </c>
      <c r="F101" s="73">
        <v>0.13</v>
      </c>
      <c r="G101" s="73">
        <v>0</v>
      </c>
      <c r="H101" s="73">
        <v>0.13</v>
      </c>
      <c r="I101" s="74"/>
    </row>
    <row r="102" spans="1:11" s="48" customFormat="1" ht="13.15" customHeight="1" x14ac:dyDescent="0.25">
      <c r="A102" s="78">
        <v>17009</v>
      </c>
      <c r="B102" s="78" t="s">
        <v>531</v>
      </c>
      <c r="C102" s="79" t="s">
        <v>716</v>
      </c>
      <c r="D102" s="80">
        <v>0.06</v>
      </c>
      <c r="E102" s="80">
        <v>0</v>
      </c>
      <c r="F102" s="80">
        <v>0.13</v>
      </c>
      <c r="G102" s="80">
        <v>0</v>
      </c>
      <c r="H102" s="80">
        <v>0.13</v>
      </c>
      <c r="I102" s="78"/>
    </row>
    <row r="103" spans="1:11" ht="13.15" customHeight="1" x14ac:dyDescent="0.25">
      <c r="A103" s="78">
        <v>17010</v>
      </c>
      <c r="B103" s="70" t="s">
        <v>532</v>
      </c>
      <c r="C103" s="72" t="s">
        <v>716</v>
      </c>
      <c r="D103" s="73">
        <v>0.06</v>
      </c>
      <c r="E103" s="73">
        <v>0</v>
      </c>
      <c r="F103" s="73">
        <v>0.13</v>
      </c>
      <c r="G103" s="73">
        <v>0</v>
      </c>
      <c r="H103" s="73">
        <v>0.13</v>
      </c>
      <c r="I103" s="74"/>
    </row>
    <row r="104" spans="1:11" ht="13.15" customHeight="1" x14ac:dyDescent="0.25">
      <c r="A104" s="78">
        <v>18001</v>
      </c>
      <c r="B104" s="70" t="s">
        <v>533</v>
      </c>
      <c r="C104" s="72" t="s">
        <v>717</v>
      </c>
      <c r="D104" s="73">
        <v>0.06</v>
      </c>
      <c r="E104" s="73">
        <v>0</v>
      </c>
      <c r="F104" s="73">
        <v>0.13</v>
      </c>
      <c r="G104" s="73">
        <v>0</v>
      </c>
      <c r="H104" s="73">
        <v>0.13</v>
      </c>
      <c r="I104" s="74"/>
    </row>
    <row r="105" spans="1:11" ht="13.15" customHeight="1" x14ac:dyDescent="0.25">
      <c r="A105" s="78">
        <v>18006</v>
      </c>
      <c r="B105" s="70" t="s">
        <v>534</v>
      </c>
      <c r="C105" s="72" t="s">
        <v>718</v>
      </c>
      <c r="D105" s="73">
        <v>0.06</v>
      </c>
      <c r="E105" s="73">
        <v>0</v>
      </c>
      <c r="F105" s="73">
        <v>0.13</v>
      </c>
      <c r="G105" s="73">
        <v>0</v>
      </c>
      <c r="H105" s="73">
        <v>0.13</v>
      </c>
      <c r="I105" s="74"/>
    </row>
    <row r="106" spans="1:11" ht="13.15" customHeight="1" x14ac:dyDescent="0.25">
      <c r="A106" s="78">
        <v>18009</v>
      </c>
      <c r="B106" s="70" t="s">
        <v>535</v>
      </c>
      <c r="C106" s="72" t="s">
        <v>719</v>
      </c>
      <c r="D106" s="73">
        <v>0.06</v>
      </c>
      <c r="E106" s="73">
        <v>0</v>
      </c>
      <c r="F106" s="73">
        <v>0.13</v>
      </c>
      <c r="G106" s="73">
        <v>0</v>
      </c>
      <c r="H106" s="73">
        <v>0.13</v>
      </c>
      <c r="I106" s="74"/>
    </row>
    <row r="107" spans="1:11" ht="13.15" customHeight="1" x14ac:dyDescent="0.25">
      <c r="A107" s="78">
        <v>19001</v>
      </c>
      <c r="B107" s="70" t="s">
        <v>536</v>
      </c>
      <c r="C107" s="72" t="s">
        <v>720</v>
      </c>
      <c r="D107" s="73">
        <v>0.14000000000000001</v>
      </c>
      <c r="E107" s="73">
        <v>0</v>
      </c>
      <c r="F107" s="73">
        <v>0.13</v>
      </c>
      <c r="G107" s="73">
        <v>0</v>
      </c>
      <c r="H107" s="73">
        <v>0.13</v>
      </c>
      <c r="I107" s="74"/>
    </row>
    <row r="108" spans="1:11" ht="13.15" customHeight="1" x14ac:dyDescent="0.25">
      <c r="A108" s="78">
        <v>19006</v>
      </c>
      <c r="B108" s="70" t="s">
        <v>538</v>
      </c>
      <c r="C108" s="72" t="s">
        <v>720</v>
      </c>
      <c r="D108" s="73">
        <v>0.14000000000000001</v>
      </c>
      <c r="E108" s="73">
        <v>0</v>
      </c>
      <c r="F108" s="73">
        <v>0.13</v>
      </c>
      <c r="G108" s="73">
        <v>0</v>
      </c>
      <c r="H108" s="73">
        <v>0.13</v>
      </c>
      <c r="I108" s="74"/>
    </row>
    <row r="109" spans="1:11" ht="13.15" customHeight="1" x14ac:dyDescent="0.25">
      <c r="A109" s="78">
        <v>19009</v>
      </c>
      <c r="B109" s="70" t="s">
        <v>539</v>
      </c>
      <c r="C109" s="72" t="s">
        <v>720</v>
      </c>
      <c r="D109" s="73">
        <v>0.14000000000000001</v>
      </c>
      <c r="E109" s="73">
        <v>0</v>
      </c>
      <c r="F109" s="73">
        <v>0.13</v>
      </c>
      <c r="G109" s="73">
        <v>0</v>
      </c>
      <c r="H109" s="73">
        <v>0.13</v>
      </c>
      <c r="I109" s="74"/>
    </row>
    <row r="110" spans="1:11" ht="13.15" customHeight="1" x14ac:dyDescent="0.25">
      <c r="A110" s="78">
        <v>19010</v>
      </c>
      <c r="B110" s="70" t="s">
        <v>540</v>
      </c>
      <c r="C110" s="72" t="s">
        <v>721</v>
      </c>
      <c r="D110" s="73">
        <v>0.08</v>
      </c>
      <c r="E110" s="73">
        <v>0</v>
      </c>
      <c r="F110" s="73">
        <v>0.13</v>
      </c>
      <c r="G110" s="73">
        <v>0</v>
      </c>
      <c r="H110" s="73">
        <v>0.13</v>
      </c>
      <c r="I110" s="74"/>
    </row>
    <row r="111" spans="1:11" ht="13.15" customHeight="1" x14ac:dyDescent="0.25">
      <c r="A111" s="78">
        <v>20001</v>
      </c>
      <c r="B111" s="70" t="s">
        <v>541</v>
      </c>
      <c r="C111" s="72" t="s">
        <v>722</v>
      </c>
      <c r="D111" s="73">
        <v>6.5000000000000002E-2</v>
      </c>
      <c r="E111" s="73">
        <v>0</v>
      </c>
      <c r="F111" s="73">
        <v>0.13</v>
      </c>
      <c r="G111" s="73">
        <v>0</v>
      </c>
      <c r="H111" s="73">
        <v>0.13</v>
      </c>
      <c r="I111" s="74" t="s">
        <v>642</v>
      </c>
    </row>
    <row r="112" spans="1:11" ht="13.15" customHeight="1" x14ac:dyDescent="0.25">
      <c r="A112" s="78">
        <v>20004</v>
      </c>
      <c r="B112" s="70" t="s">
        <v>542</v>
      </c>
      <c r="C112" s="72" t="s">
        <v>723</v>
      </c>
      <c r="D112" s="73">
        <v>6.5000000000000002E-2</v>
      </c>
      <c r="E112" s="73">
        <v>0</v>
      </c>
      <c r="F112" s="73">
        <v>0.13</v>
      </c>
      <c r="G112" s="73">
        <v>0</v>
      </c>
      <c r="H112" s="73">
        <v>0.13</v>
      </c>
      <c r="I112" s="74" t="s">
        <v>724</v>
      </c>
    </row>
    <row r="113" spans="1:9" ht="13.15" customHeight="1" x14ac:dyDescent="0.25">
      <c r="A113" s="78">
        <v>20005</v>
      </c>
      <c r="B113" s="70" t="s">
        <v>543</v>
      </c>
      <c r="C113" s="72" t="s">
        <v>725</v>
      </c>
      <c r="D113" s="76">
        <v>5.5E-2</v>
      </c>
      <c r="E113" s="73">
        <v>0</v>
      </c>
      <c r="F113" s="73">
        <v>0.13</v>
      </c>
      <c r="G113" s="73">
        <v>0</v>
      </c>
      <c r="H113" s="73">
        <v>0.13</v>
      </c>
      <c r="I113" s="74"/>
    </row>
    <row r="114" spans="1:9" ht="13.15" customHeight="1" x14ac:dyDescent="0.25">
      <c r="A114" s="78">
        <v>21001</v>
      </c>
      <c r="B114" s="70" t="s">
        <v>544</v>
      </c>
      <c r="C114" s="72" t="s">
        <v>726</v>
      </c>
      <c r="D114" s="73">
        <v>6.5000000000000002E-2</v>
      </c>
      <c r="E114" s="73">
        <v>0</v>
      </c>
      <c r="F114" s="73">
        <v>0.13</v>
      </c>
      <c r="G114" s="73">
        <v>0</v>
      </c>
      <c r="H114" s="73">
        <v>0.13</v>
      </c>
      <c r="I114" s="74"/>
    </row>
    <row r="115" spans="1:9" ht="13.15" customHeight="1" x14ac:dyDescent="0.25">
      <c r="A115" s="78">
        <v>22002</v>
      </c>
      <c r="B115" s="70" t="s">
        <v>545</v>
      </c>
      <c r="C115" s="77" t="s">
        <v>727</v>
      </c>
      <c r="D115" s="73">
        <v>0.3</v>
      </c>
      <c r="E115" s="73">
        <v>0</v>
      </c>
      <c r="F115" s="73">
        <v>0.09</v>
      </c>
      <c r="G115" s="73">
        <v>0</v>
      </c>
      <c r="H115" s="73">
        <v>0.09</v>
      </c>
      <c r="I115" s="74" t="s">
        <v>642</v>
      </c>
    </row>
    <row r="116" spans="1:9" ht="13.15" customHeight="1" x14ac:dyDescent="0.25">
      <c r="A116" s="78">
        <v>22003</v>
      </c>
      <c r="B116" s="70" t="s">
        <v>547</v>
      </c>
      <c r="C116" s="77" t="s">
        <v>728</v>
      </c>
      <c r="D116" s="73">
        <v>0.3</v>
      </c>
      <c r="E116" s="73">
        <v>0</v>
      </c>
      <c r="F116" s="73">
        <v>0.09</v>
      </c>
      <c r="G116" s="73">
        <v>0</v>
      </c>
      <c r="H116" s="73">
        <v>0.09</v>
      </c>
      <c r="I116" s="74" t="s">
        <v>642</v>
      </c>
    </row>
    <row r="117" spans="1:9" ht="13.15" customHeight="1" x14ac:dyDescent="0.25">
      <c r="A117" s="78">
        <v>22004</v>
      </c>
      <c r="B117" s="70" t="s">
        <v>548</v>
      </c>
      <c r="C117" s="77" t="s">
        <v>728</v>
      </c>
      <c r="D117" s="73">
        <v>0.3</v>
      </c>
      <c r="E117" s="73">
        <v>0</v>
      </c>
      <c r="F117" s="73">
        <v>0.09</v>
      </c>
      <c r="G117" s="73">
        <v>0</v>
      </c>
      <c r="H117" s="73">
        <v>0.09</v>
      </c>
      <c r="I117" s="74" t="s">
        <v>642</v>
      </c>
    </row>
    <row r="118" spans="1:9" ht="13.15" customHeight="1" x14ac:dyDescent="0.25">
      <c r="A118" s="78">
        <v>22005</v>
      </c>
      <c r="B118" s="70" t="s">
        <v>549</v>
      </c>
      <c r="C118" s="77" t="s">
        <v>729</v>
      </c>
      <c r="D118" s="73">
        <v>0.3</v>
      </c>
      <c r="E118" s="73">
        <v>0</v>
      </c>
      <c r="F118" s="73">
        <v>0.09</v>
      </c>
      <c r="G118" s="73">
        <v>0</v>
      </c>
      <c r="H118" s="73">
        <v>0.09</v>
      </c>
      <c r="I118" s="74" t="s">
        <v>642</v>
      </c>
    </row>
    <row r="119" spans="1:9" ht="13.15" customHeight="1" x14ac:dyDescent="0.25">
      <c r="A119" s="78">
        <v>22006</v>
      </c>
      <c r="B119" s="70" t="s">
        <v>550</v>
      </c>
      <c r="C119" s="77" t="s">
        <v>730</v>
      </c>
      <c r="D119" s="73">
        <v>0.13</v>
      </c>
      <c r="E119" s="73">
        <v>0</v>
      </c>
      <c r="F119" s="73">
        <v>0.09</v>
      </c>
      <c r="G119" s="73">
        <v>0</v>
      </c>
      <c r="H119" s="73">
        <v>0</v>
      </c>
      <c r="I119" s="74" t="s">
        <v>642</v>
      </c>
    </row>
    <row r="120" spans="1:9" ht="13.15" customHeight="1" x14ac:dyDescent="0.25">
      <c r="A120" s="78">
        <v>22007</v>
      </c>
      <c r="B120" s="70" t="s">
        <v>551</v>
      </c>
      <c r="C120" s="77" t="s">
        <v>730</v>
      </c>
      <c r="D120" s="73">
        <v>0.13</v>
      </c>
      <c r="E120" s="73">
        <v>0</v>
      </c>
      <c r="F120" s="73">
        <v>0.09</v>
      </c>
      <c r="G120" s="73">
        <v>0</v>
      </c>
      <c r="H120" s="73">
        <v>0</v>
      </c>
      <c r="I120" s="74" t="s">
        <v>642</v>
      </c>
    </row>
    <row r="121" spans="1:9" ht="13.15" customHeight="1" x14ac:dyDescent="0.25">
      <c r="A121" s="78">
        <v>22008</v>
      </c>
      <c r="B121" s="70" t="s">
        <v>552</v>
      </c>
      <c r="C121" s="77" t="s">
        <v>730</v>
      </c>
      <c r="D121" s="73">
        <v>0.13</v>
      </c>
      <c r="E121" s="73">
        <v>0</v>
      </c>
      <c r="F121" s="73">
        <v>0.09</v>
      </c>
      <c r="G121" s="73">
        <v>0</v>
      </c>
      <c r="H121" s="73">
        <v>0</v>
      </c>
      <c r="I121" s="74" t="s">
        <v>642</v>
      </c>
    </row>
    <row r="122" spans="1:9" ht="13.15" customHeight="1" x14ac:dyDescent="0.25">
      <c r="A122" s="70">
        <v>22009</v>
      </c>
      <c r="B122" s="70" t="s">
        <v>553</v>
      </c>
      <c r="C122" s="72" t="s">
        <v>731</v>
      </c>
      <c r="D122" s="73">
        <v>0.12</v>
      </c>
      <c r="E122" s="73">
        <v>0</v>
      </c>
      <c r="F122" s="73">
        <v>0.09</v>
      </c>
      <c r="G122" s="73">
        <v>0</v>
      </c>
      <c r="H122" s="73">
        <v>0.09</v>
      </c>
      <c r="I122" s="82" t="s">
        <v>732</v>
      </c>
    </row>
    <row r="123" spans="1:9" ht="13.15" customHeight="1" x14ac:dyDescent="0.25">
      <c r="A123" s="70">
        <v>23001</v>
      </c>
      <c r="B123" s="70" t="s">
        <v>554</v>
      </c>
      <c r="C123" s="72" t="s">
        <v>733</v>
      </c>
      <c r="D123" s="73">
        <v>0.15</v>
      </c>
      <c r="E123" s="73">
        <v>0</v>
      </c>
      <c r="F123" s="73">
        <v>0.13</v>
      </c>
      <c r="G123" s="73">
        <v>0</v>
      </c>
      <c r="H123" s="73">
        <v>0.13</v>
      </c>
      <c r="I123" s="83" t="s">
        <v>734</v>
      </c>
    </row>
    <row r="124" spans="1:9" ht="13.15" customHeight="1" x14ac:dyDescent="0.25">
      <c r="A124" s="70">
        <v>23002</v>
      </c>
      <c r="B124" s="70" t="s">
        <v>555</v>
      </c>
      <c r="C124" s="72" t="s">
        <v>735</v>
      </c>
      <c r="D124" s="73">
        <v>0.15</v>
      </c>
      <c r="E124" s="73">
        <v>0</v>
      </c>
      <c r="F124" s="73">
        <v>0.13</v>
      </c>
      <c r="G124" s="73">
        <v>0</v>
      </c>
      <c r="H124" s="73">
        <v>0.13</v>
      </c>
      <c r="I124" s="74" t="s">
        <v>642</v>
      </c>
    </row>
    <row r="125" spans="1:9" ht="13.15" customHeight="1" x14ac:dyDescent="0.25">
      <c r="A125" s="70">
        <v>23003</v>
      </c>
      <c r="B125" s="70" t="s">
        <v>556</v>
      </c>
      <c r="C125" s="72" t="s">
        <v>735</v>
      </c>
      <c r="D125" s="73">
        <v>0.15</v>
      </c>
      <c r="E125" s="73">
        <v>0</v>
      </c>
      <c r="F125" s="73">
        <v>0.13</v>
      </c>
      <c r="G125" s="73">
        <v>0</v>
      </c>
      <c r="H125" s="73">
        <v>0.13</v>
      </c>
      <c r="I125" s="74" t="s">
        <v>642</v>
      </c>
    </row>
    <row r="126" spans="1:9" ht="13.15" customHeight="1" x14ac:dyDescent="0.25">
      <c r="A126" s="70">
        <v>23004</v>
      </c>
      <c r="B126" s="70" t="s">
        <v>557</v>
      </c>
      <c r="C126" s="72" t="s">
        <v>735</v>
      </c>
      <c r="D126" s="73">
        <v>0.15</v>
      </c>
      <c r="E126" s="73">
        <v>0</v>
      </c>
      <c r="F126" s="73">
        <v>0.13</v>
      </c>
      <c r="G126" s="73">
        <v>0</v>
      </c>
      <c r="H126" s="73">
        <v>0.13</v>
      </c>
      <c r="I126" s="74" t="s">
        <v>642</v>
      </c>
    </row>
    <row r="127" spans="1:9" ht="13.15" customHeight="1" x14ac:dyDescent="0.25">
      <c r="A127" s="70">
        <v>23005</v>
      </c>
      <c r="B127" s="70" t="s">
        <v>558</v>
      </c>
      <c r="C127" s="72" t="s">
        <v>736</v>
      </c>
      <c r="D127" s="73">
        <v>0.03</v>
      </c>
      <c r="E127" s="73">
        <v>0</v>
      </c>
      <c r="F127" s="73">
        <v>0.09</v>
      </c>
      <c r="G127" s="73">
        <v>0</v>
      </c>
      <c r="H127" s="73">
        <v>0</v>
      </c>
      <c r="I127" s="83" t="s">
        <v>656</v>
      </c>
    </row>
    <row r="128" spans="1:9" ht="13.15" customHeight="1" x14ac:dyDescent="0.25">
      <c r="A128" s="70">
        <v>23006</v>
      </c>
      <c r="B128" s="70" t="s">
        <v>559</v>
      </c>
      <c r="C128" s="72" t="s">
        <v>737</v>
      </c>
      <c r="D128" s="73">
        <v>0.01</v>
      </c>
      <c r="E128" s="73">
        <v>0</v>
      </c>
      <c r="F128" s="73">
        <v>0.09</v>
      </c>
      <c r="G128" s="73">
        <v>0</v>
      </c>
      <c r="H128" s="73">
        <v>0</v>
      </c>
      <c r="I128" s="83" t="s">
        <v>738</v>
      </c>
    </row>
    <row r="129" spans="1:9" ht="13.15" customHeight="1" x14ac:dyDescent="0.25">
      <c r="A129" s="70">
        <v>23007</v>
      </c>
      <c r="B129" s="70" t="s">
        <v>560</v>
      </c>
      <c r="C129" s="72" t="s">
        <v>737</v>
      </c>
      <c r="D129" s="73">
        <v>0.01</v>
      </c>
      <c r="E129" s="73">
        <v>0</v>
      </c>
      <c r="F129" s="73">
        <v>0.09</v>
      </c>
      <c r="G129" s="73">
        <v>0</v>
      </c>
      <c r="H129" s="73">
        <v>0</v>
      </c>
      <c r="I129" s="83" t="s">
        <v>738</v>
      </c>
    </row>
    <row r="130" spans="1:9" ht="13.15" customHeight="1" x14ac:dyDescent="0.25">
      <c r="A130" s="70">
        <v>23008</v>
      </c>
      <c r="B130" s="70" t="s">
        <v>561</v>
      </c>
      <c r="C130" s="72">
        <v>1001190001</v>
      </c>
      <c r="D130" s="73">
        <v>0.01</v>
      </c>
      <c r="E130" s="73">
        <v>0</v>
      </c>
      <c r="F130" s="73">
        <v>0.09</v>
      </c>
      <c r="G130" s="73">
        <v>0</v>
      </c>
      <c r="H130" s="73">
        <v>0</v>
      </c>
      <c r="I130" s="83" t="s">
        <v>738</v>
      </c>
    </row>
    <row r="131" spans="1:9" ht="13.15" customHeight="1" x14ac:dyDescent="0.25">
      <c r="A131" s="70">
        <v>23009</v>
      </c>
      <c r="B131" s="70" t="s">
        <v>562</v>
      </c>
      <c r="C131" s="72" t="s">
        <v>739</v>
      </c>
      <c r="D131" s="73">
        <v>0.65</v>
      </c>
      <c r="E131" s="73">
        <v>0</v>
      </c>
      <c r="F131" s="73">
        <v>0.09</v>
      </c>
      <c r="G131" s="73">
        <v>0</v>
      </c>
      <c r="H131" s="73">
        <v>0</v>
      </c>
      <c r="I131" s="83" t="s">
        <v>740</v>
      </c>
    </row>
    <row r="132" spans="1:9" ht="13.15" customHeight="1" x14ac:dyDescent="0.25">
      <c r="A132" s="70">
        <v>23010</v>
      </c>
      <c r="B132" s="70" t="s">
        <v>563</v>
      </c>
      <c r="C132" s="72" t="s">
        <v>741</v>
      </c>
      <c r="D132" s="73">
        <v>7.0000000000000007E-2</v>
      </c>
      <c r="E132" s="73">
        <v>0</v>
      </c>
      <c r="F132" s="73">
        <v>0.09</v>
      </c>
      <c r="G132" s="73">
        <v>0</v>
      </c>
      <c r="H132" s="73">
        <v>0</v>
      </c>
      <c r="I132" s="74" t="s">
        <v>642</v>
      </c>
    </row>
    <row r="133" spans="1:9" ht="13.15" customHeight="1" x14ac:dyDescent="0.25">
      <c r="A133" s="70">
        <v>23011</v>
      </c>
      <c r="B133" s="70" t="s">
        <v>564</v>
      </c>
      <c r="C133" s="72" t="s">
        <v>742</v>
      </c>
      <c r="D133" s="73">
        <v>0.01</v>
      </c>
      <c r="E133" s="73">
        <v>0</v>
      </c>
      <c r="F133" s="73">
        <v>0.09</v>
      </c>
      <c r="G133" s="73">
        <v>0</v>
      </c>
      <c r="H133" s="73">
        <v>0</v>
      </c>
      <c r="I133" s="82" t="s">
        <v>743</v>
      </c>
    </row>
    <row r="134" spans="1:9" ht="13.15" customHeight="1" x14ac:dyDescent="0.25">
      <c r="A134" s="70">
        <v>24001</v>
      </c>
      <c r="B134" s="70" t="s">
        <v>565</v>
      </c>
      <c r="C134" s="72" t="s">
        <v>744</v>
      </c>
      <c r="D134" s="73">
        <v>0.25</v>
      </c>
      <c r="E134" s="73">
        <v>0</v>
      </c>
      <c r="F134" s="73">
        <v>0.13</v>
      </c>
      <c r="G134" s="73">
        <v>0.36</v>
      </c>
      <c r="H134" s="73">
        <v>0</v>
      </c>
      <c r="I134" s="82">
        <v>7</v>
      </c>
    </row>
    <row r="135" spans="1:9" ht="13.15" customHeight="1" x14ac:dyDescent="0.25">
      <c r="A135" s="70">
        <v>24002</v>
      </c>
      <c r="B135" s="70" t="s">
        <v>566</v>
      </c>
      <c r="C135" s="72">
        <v>2402100000</v>
      </c>
      <c r="D135" s="73">
        <v>0.25</v>
      </c>
      <c r="E135" s="73">
        <v>0</v>
      </c>
      <c r="F135" s="73">
        <v>0.13</v>
      </c>
      <c r="G135" s="73">
        <v>0.36</v>
      </c>
      <c r="H135" s="73">
        <v>0</v>
      </c>
      <c r="I135" s="82">
        <v>7</v>
      </c>
    </row>
    <row r="136" spans="1:9" ht="13.15" customHeight="1" x14ac:dyDescent="0.25">
      <c r="A136" s="70">
        <v>24003</v>
      </c>
      <c r="B136" s="70" t="s">
        <v>567</v>
      </c>
      <c r="C136" s="72">
        <v>2402100000</v>
      </c>
      <c r="D136" s="73">
        <v>0.25</v>
      </c>
      <c r="E136" s="73">
        <v>0</v>
      </c>
      <c r="F136" s="73">
        <v>0.13</v>
      </c>
      <c r="G136" s="73">
        <v>0.36</v>
      </c>
      <c r="H136" s="73">
        <v>0</v>
      </c>
      <c r="I136" s="82">
        <v>7</v>
      </c>
    </row>
    <row r="137" spans="1:9" ht="13.15" customHeight="1" x14ac:dyDescent="0.25">
      <c r="A137" s="70">
        <v>24004</v>
      </c>
      <c r="B137" s="70" t="s">
        <v>568</v>
      </c>
      <c r="C137" s="72">
        <v>2402100000</v>
      </c>
      <c r="D137" s="73">
        <v>0.25</v>
      </c>
      <c r="E137" s="73">
        <v>0</v>
      </c>
      <c r="F137" s="73">
        <v>0.13</v>
      </c>
      <c r="G137" s="73">
        <v>0.36</v>
      </c>
      <c r="H137" s="73">
        <v>0</v>
      </c>
      <c r="I137" s="82">
        <v>7</v>
      </c>
    </row>
    <row r="138" spans="1:9" ht="13.15" customHeight="1" x14ac:dyDescent="0.25">
      <c r="A138" s="70">
        <v>25001</v>
      </c>
      <c r="B138" s="70" t="s">
        <v>569</v>
      </c>
      <c r="C138" s="72" t="s">
        <v>745</v>
      </c>
      <c r="D138" s="73">
        <v>0.08</v>
      </c>
      <c r="E138" s="73">
        <v>0</v>
      </c>
      <c r="F138" s="73">
        <v>0.13</v>
      </c>
      <c r="G138" s="73">
        <v>0</v>
      </c>
      <c r="H138" s="73">
        <v>0</v>
      </c>
      <c r="I138" s="74" t="s">
        <v>746</v>
      </c>
    </row>
    <row r="139" spans="1:9" ht="13.15" customHeight="1" x14ac:dyDescent="0.25">
      <c r="A139" s="70">
        <v>25002</v>
      </c>
      <c r="B139" s="70" t="s">
        <v>570</v>
      </c>
      <c r="C139" s="72">
        <v>7113191990</v>
      </c>
      <c r="D139" s="73">
        <v>0.08</v>
      </c>
      <c r="E139" s="73">
        <v>0</v>
      </c>
      <c r="F139" s="73">
        <v>0.13</v>
      </c>
      <c r="G139" s="73">
        <v>0</v>
      </c>
      <c r="H139" s="73">
        <v>0</v>
      </c>
      <c r="I139" s="74" t="s">
        <v>746</v>
      </c>
    </row>
    <row r="140" spans="1:9" ht="13.15" customHeight="1" x14ac:dyDescent="0.25">
      <c r="A140" s="70">
        <v>25003</v>
      </c>
      <c r="B140" s="70" t="s">
        <v>571</v>
      </c>
      <c r="C140" s="72">
        <v>7113191990</v>
      </c>
      <c r="D140" s="73">
        <v>0.08</v>
      </c>
      <c r="E140" s="73">
        <v>0</v>
      </c>
      <c r="F140" s="73">
        <v>0.13</v>
      </c>
      <c r="G140" s="73">
        <v>0</v>
      </c>
      <c r="H140" s="73">
        <v>0</v>
      </c>
      <c r="I140" s="74" t="s">
        <v>746</v>
      </c>
    </row>
    <row r="141" spans="1:9" ht="13.15" customHeight="1" x14ac:dyDescent="0.25">
      <c r="A141" s="70">
        <v>25004</v>
      </c>
      <c r="B141" s="70" t="s">
        <v>572</v>
      </c>
      <c r="C141" s="72" t="s">
        <v>747</v>
      </c>
      <c r="D141" s="73">
        <v>0.1</v>
      </c>
      <c r="E141" s="73">
        <v>0</v>
      </c>
      <c r="F141" s="73">
        <v>0.13</v>
      </c>
      <c r="G141" s="73">
        <v>0</v>
      </c>
      <c r="H141" s="73">
        <v>0</v>
      </c>
      <c r="I141" s="74"/>
    </row>
    <row r="142" spans="1:9" ht="13.15" customHeight="1" x14ac:dyDescent="0.25">
      <c r="A142" s="70">
        <v>25005</v>
      </c>
      <c r="B142" s="70" t="s">
        <v>573</v>
      </c>
      <c r="C142" s="72">
        <v>7113192990</v>
      </c>
      <c r="D142" s="73">
        <v>0.1</v>
      </c>
      <c r="E142" s="73">
        <v>0</v>
      </c>
      <c r="F142" s="73">
        <v>0.13</v>
      </c>
      <c r="G142" s="73">
        <v>0</v>
      </c>
      <c r="H142" s="73">
        <v>0</v>
      </c>
      <c r="I142" s="74"/>
    </row>
    <row r="143" spans="1:9" ht="13.15" customHeight="1" x14ac:dyDescent="0.25">
      <c r="A143" s="70">
        <v>25006</v>
      </c>
      <c r="B143" s="70" t="s">
        <v>574</v>
      </c>
      <c r="C143" s="72">
        <v>7113192990</v>
      </c>
      <c r="D143" s="73">
        <v>0.1</v>
      </c>
      <c r="E143" s="73">
        <v>0</v>
      </c>
      <c r="F143" s="73">
        <v>0.13</v>
      </c>
      <c r="G143" s="73">
        <v>0</v>
      </c>
      <c r="H143" s="73">
        <v>0</v>
      </c>
      <c r="I143" s="74"/>
    </row>
    <row r="144" spans="1:9" ht="13.15" customHeight="1" x14ac:dyDescent="0.25">
      <c r="A144" s="70">
        <v>25007</v>
      </c>
      <c r="B144" s="70" t="s">
        <v>575</v>
      </c>
      <c r="C144" s="72" t="s">
        <v>745</v>
      </c>
      <c r="D144" s="73">
        <v>0.08</v>
      </c>
      <c r="E144" s="73">
        <v>0</v>
      </c>
      <c r="F144" s="73">
        <v>0.13</v>
      </c>
      <c r="G144" s="73">
        <v>0</v>
      </c>
      <c r="H144" s="73">
        <v>0</v>
      </c>
      <c r="I144" s="74" t="s">
        <v>746</v>
      </c>
    </row>
    <row r="145" spans="1:9" ht="13.15" customHeight="1" x14ac:dyDescent="0.25">
      <c r="A145" s="70">
        <v>25008</v>
      </c>
      <c r="B145" s="70" t="s">
        <v>576</v>
      </c>
      <c r="C145" s="72" t="s">
        <v>748</v>
      </c>
      <c r="D145" s="73">
        <v>0.08</v>
      </c>
      <c r="E145" s="73">
        <v>0</v>
      </c>
      <c r="F145" s="73">
        <v>0.13</v>
      </c>
      <c r="G145" s="73">
        <v>0</v>
      </c>
      <c r="H145" s="73">
        <v>0.13</v>
      </c>
      <c r="I145" s="74"/>
    </row>
    <row r="146" spans="1:9" ht="13.15" customHeight="1" x14ac:dyDescent="0.25">
      <c r="A146" s="70">
        <v>25009</v>
      </c>
      <c r="B146" s="70" t="s">
        <v>577</v>
      </c>
      <c r="C146" s="72">
        <v>7113119090</v>
      </c>
      <c r="D146" s="73">
        <v>0.08</v>
      </c>
      <c r="E146" s="73">
        <v>0</v>
      </c>
      <c r="F146" s="73">
        <v>0.13</v>
      </c>
      <c r="G146" s="73">
        <v>0</v>
      </c>
      <c r="H146" s="73">
        <v>0.13</v>
      </c>
      <c r="I146" s="74"/>
    </row>
    <row r="147" spans="1:9" ht="13.15" customHeight="1" x14ac:dyDescent="0.25">
      <c r="A147" s="70">
        <v>25010</v>
      </c>
      <c r="B147" s="70" t="s">
        <v>578</v>
      </c>
      <c r="C147" s="72">
        <v>7113119090</v>
      </c>
      <c r="D147" s="73">
        <v>0.08</v>
      </c>
      <c r="E147" s="73">
        <v>0</v>
      </c>
      <c r="F147" s="73">
        <v>0.13</v>
      </c>
      <c r="G147" s="73">
        <v>0</v>
      </c>
      <c r="H147" s="73">
        <v>0.13</v>
      </c>
      <c r="I147" s="74"/>
    </row>
    <row r="148" spans="1:9" ht="13.15" customHeight="1" x14ac:dyDescent="0.25">
      <c r="A148" s="70">
        <v>25011</v>
      </c>
      <c r="B148" s="70" t="s">
        <v>579</v>
      </c>
      <c r="C148" s="72" t="s">
        <v>749</v>
      </c>
      <c r="D148" s="73">
        <v>0.04</v>
      </c>
      <c r="E148" s="73">
        <v>0</v>
      </c>
      <c r="F148" s="73">
        <v>0.13</v>
      </c>
      <c r="G148" s="73">
        <v>0.1</v>
      </c>
      <c r="H148" s="73">
        <v>0.13</v>
      </c>
      <c r="I148" s="74"/>
    </row>
    <row r="149" spans="1:9" ht="13.15" customHeight="1" x14ac:dyDescent="0.25">
      <c r="A149" s="70">
        <v>25012</v>
      </c>
      <c r="B149" s="70" t="s">
        <v>299</v>
      </c>
      <c r="C149" s="72" t="s">
        <v>745</v>
      </c>
      <c r="D149" s="73">
        <v>0.08</v>
      </c>
      <c r="E149" s="73">
        <v>0</v>
      </c>
      <c r="F149" s="73">
        <v>0.13</v>
      </c>
      <c r="G149" s="73">
        <v>0</v>
      </c>
      <c r="H149" s="73">
        <v>0</v>
      </c>
      <c r="I149" s="74" t="s">
        <v>746</v>
      </c>
    </row>
    <row r="150" spans="1:9" ht="13.15" customHeight="1" x14ac:dyDescent="0.25">
      <c r="A150" s="70">
        <v>25013</v>
      </c>
      <c r="B150" s="70" t="s">
        <v>580</v>
      </c>
      <c r="C150" s="72">
        <v>7113119090</v>
      </c>
      <c r="D150" s="73">
        <v>0.08</v>
      </c>
      <c r="E150" s="73">
        <v>0</v>
      </c>
      <c r="F150" s="73">
        <v>0.13</v>
      </c>
      <c r="G150" s="73">
        <v>0</v>
      </c>
      <c r="H150" s="73">
        <v>0.06</v>
      </c>
      <c r="I150" s="74"/>
    </row>
    <row r="151" spans="1:9" ht="13.15" customHeight="1" x14ac:dyDescent="0.25">
      <c r="A151" s="70">
        <v>25014</v>
      </c>
      <c r="B151" s="70" t="s">
        <v>581</v>
      </c>
      <c r="C151" s="72">
        <v>7113191990</v>
      </c>
      <c r="D151" s="73">
        <v>0.08</v>
      </c>
      <c r="E151" s="73">
        <v>0</v>
      </c>
      <c r="F151" s="73">
        <v>0.13</v>
      </c>
      <c r="G151" s="73">
        <v>0</v>
      </c>
      <c r="H151" s="73">
        <v>0</v>
      </c>
      <c r="I151" s="74" t="s">
        <v>746</v>
      </c>
    </row>
    <row r="152" spans="1:9" ht="13.15" customHeight="1" x14ac:dyDescent="0.25">
      <c r="A152" s="70">
        <v>25015</v>
      </c>
      <c r="B152" s="70" t="s">
        <v>582</v>
      </c>
      <c r="C152" s="72">
        <v>7113191990</v>
      </c>
      <c r="D152" s="73">
        <v>0.08</v>
      </c>
      <c r="E152" s="73">
        <v>0</v>
      </c>
      <c r="F152" s="73">
        <v>0.13</v>
      </c>
      <c r="G152" s="73">
        <v>0</v>
      </c>
      <c r="H152" s="73">
        <v>0</v>
      </c>
      <c r="I152" s="74" t="s">
        <v>746</v>
      </c>
    </row>
    <row r="153" spans="1:9" ht="13.15" customHeight="1" x14ac:dyDescent="0.25">
      <c r="A153" s="70">
        <v>25016</v>
      </c>
      <c r="B153" s="70" t="s">
        <v>583</v>
      </c>
      <c r="C153" s="72" t="s">
        <v>750</v>
      </c>
      <c r="D153" s="73">
        <v>0.1</v>
      </c>
      <c r="E153" s="73">
        <v>0</v>
      </c>
      <c r="F153" s="73">
        <v>0.13</v>
      </c>
      <c r="G153" s="73">
        <v>0</v>
      </c>
      <c r="H153" s="73">
        <v>0</v>
      </c>
      <c r="I153" s="74"/>
    </row>
    <row r="154" spans="1:9" ht="13.15" customHeight="1" x14ac:dyDescent="0.25">
      <c r="A154" s="70">
        <v>25017</v>
      </c>
      <c r="B154" s="70" t="s">
        <v>584</v>
      </c>
      <c r="C154" s="72">
        <v>7113119090</v>
      </c>
      <c r="D154" s="73">
        <v>0.08</v>
      </c>
      <c r="E154" s="73">
        <v>0</v>
      </c>
      <c r="F154" s="73">
        <v>0.13</v>
      </c>
      <c r="G154" s="73">
        <v>0</v>
      </c>
      <c r="H154" s="73">
        <v>0.13</v>
      </c>
      <c r="I154" s="74"/>
    </row>
    <row r="155" spans="1:9" ht="13.15" customHeight="1" x14ac:dyDescent="0.25">
      <c r="A155" s="70">
        <v>25018</v>
      </c>
      <c r="B155" s="70" t="s">
        <v>585</v>
      </c>
      <c r="C155" s="72" t="s">
        <v>747</v>
      </c>
      <c r="D155" s="73">
        <v>0.1</v>
      </c>
      <c r="E155" s="73">
        <v>0</v>
      </c>
      <c r="F155" s="73">
        <v>0.13</v>
      </c>
      <c r="G155" s="73">
        <v>0</v>
      </c>
      <c r="H155" s="73">
        <v>0</v>
      </c>
      <c r="I155" s="74"/>
    </row>
    <row r="156" spans="1:9" ht="13.15" customHeight="1" x14ac:dyDescent="0.25">
      <c r="A156" s="70">
        <v>25019</v>
      </c>
      <c r="B156" s="70" t="s">
        <v>586</v>
      </c>
      <c r="C156" s="72" t="s">
        <v>751</v>
      </c>
      <c r="D156" s="73">
        <v>7.0000000000000007E-2</v>
      </c>
      <c r="E156" s="73">
        <v>0</v>
      </c>
      <c r="F156" s="73">
        <v>0.13</v>
      </c>
      <c r="G156" s="73">
        <v>0</v>
      </c>
      <c r="H156" s="73">
        <v>0.13</v>
      </c>
      <c r="I156" s="74"/>
    </row>
    <row r="157" spans="1:9" ht="13.15" customHeight="1" x14ac:dyDescent="0.25">
      <c r="A157" s="70">
        <v>26001</v>
      </c>
      <c r="B157" s="70" t="s">
        <v>587</v>
      </c>
      <c r="C157" s="72" t="s">
        <v>752</v>
      </c>
      <c r="D157" s="73">
        <v>0.15</v>
      </c>
      <c r="E157" s="73">
        <v>0</v>
      </c>
      <c r="F157" s="73">
        <v>0.13</v>
      </c>
      <c r="G157" s="73">
        <v>0</v>
      </c>
      <c r="H157" s="73">
        <v>0.13</v>
      </c>
      <c r="I157" s="74" t="s">
        <v>662</v>
      </c>
    </row>
    <row r="158" spans="1:9" ht="13.15" customHeight="1" x14ac:dyDescent="0.25">
      <c r="A158" s="70">
        <v>26002</v>
      </c>
      <c r="B158" s="70" t="s">
        <v>588</v>
      </c>
      <c r="C158" s="72" t="s">
        <v>753</v>
      </c>
      <c r="D158" s="73">
        <v>0.08</v>
      </c>
      <c r="E158" s="73">
        <v>0</v>
      </c>
      <c r="F158" s="73">
        <v>0.13</v>
      </c>
      <c r="G158" s="73">
        <v>0</v>
      </c>
      <c r="H158" s="73">
        <v>0.13</v>
      </c>
      <c r="I158" s="74" t="s">
        <v>662</v>
      </c>
    </row>
    <row r="159" spans="1:9" ht="13.15" customHeight="1" x14ac:dyDescent="0.25">
      <c r="A159" s="70">
        <v>26003</v>
      </c>
      <c r="B159" s="70" t="s">
        <v>589</v>
      </c>
      <c r="C159" s="72" t="s">
        <v>754</v>
      </c>
      <c r="D159" s="73">
        <v>0.08</v>
      </c>
      <c r="E159" s="73">
        <v>0</v>
      </c>
      <c r="F159" s="73">
        <v>0.13</v>
      </c>
      <c r="G159" s="73">
        <v>0</v>
      </c>
      <c r="H159" s="73">
        <v>0.13</v>
      </c>
      <c r="I159" s="74" t="s">
        <v>662</v>
      </c>
    </row>
    <row r="160" spans="1:9" ht="13.15" customHeight="1" x14ac:dyDescent="0.25">
      <c r="A160" s="70">
        <v>26004</v>
      </c>
      <c r="B160" s="70" t="s">
        <v>590</v>
      </c>
      <c r="C160" s="72" t="s">
        <v>755</v>
      </c>
      <c r="D160" s="73">
        <v>7.0000000000000007E-2</v>
      </c>
      <c r="E160" s="73">
        <v>0</v>
      </c>
      <c r="F160" s="73">
        <v>0.13</v>
      </c>
      <c r="G160" s="73">
        <v>0</v>
      </c>
      <c r="H160" s="73">
        <v>0.13</v>
      </c>
      <c r="I160" s="74" t="s">
        <v>662</v>
      </c>
    </row>
    <row r="161" spans="1:9" ht="13.15" customHeight="1" x14ac:dyDescent="0.25">
      <c r="A161" s="70">
        <v>26005</v>
      </c>
      <c r="B161" s="70" t="s">
        <v>591</v>
      </c>
      <c r="C161" s="72" t="s">
        <v>756</v>
      </c>
      <c r="D161" s="73">
        <v>7.0000000000000007E-2</v>
      </c>
      <c r="E161" s="73">
        <v>0</v>
      </c>
      <c r="F161" s="73">
        <v>0.13</v>
      </c>
      <c r="G161" s="73">
        <v>0</v>
      </c>
      <c r="H161" s="73">
        <v>0.13</v>
      </c>
      <c r="I161" s="74" t="s">
        <v>662</v>
      </c>
    </row>
    <row r="162" spans="1:9" ht="13.15" customHeight="1" x14ac:dyDescent="0.25">
      <c r="A162" s="70">
        <v>26006</v>
      </c>
      <c r="B162" s="70" t="s">
        <v>592</v>
      </c>
      <c r="C162" s="72" t="s">
        <v>757</v>
      </c>
      <c r="D162" s="73">
        <v>7.0000000000000007E-2</v>
      </c>
      <c r="E162" s="73">
        <v>0</v>
      </c>
      <c r="F162" s="73">
        <v>0.13</v>
      </c>
      <c r="G162" s="73">
        <v>0</v>
      </c>
      <c r="H162" s="73">
        <v>0.13</v>
      </c>
      <c r="I162" s="74" t="s">
        <v>662</v>
      </c>
    </row>
    <row r="163" spans="1:9" ht="13.15" customHeight="1" x14ac:dyDescent="0.25">
      <c r="A163" s="70">
        <v>26007</v>
      </c>
      <c r="B163" s="70" t="s">
        <v>593</v>
      </c>
      <c r="C163" s="72" t="s">
        <v>758</v>
      </c>
      <c r="D163" s="73">
        <v>7.0000000000000007E-2</v>
      </c>
      <c r="E163" s="73">
        <v>0</v>
      </c>
      <c r="F163" s="73">
        <v>0.13</v>
      </c>
      <c r="G163" s="73">
        <v>0</v>
      </c>
      <c r="H163" s="73">
        <v>0.13</v>
      </c>
      <c r="I163" s="74" t="s">
        <v>662</v>
      </c>
    </row>
    <row r="164" spans="1:9" ht="13.15" customHeight="1" x14ac:dyDescent="0.25">
      <c r="A164" s="70">
        <v>27001</v>
      </c>
      <c r="B164" s="70" t="s">
        <v>594</v>
      </c>
      <c r="C164" s="72" t="s">
        <v>759</v>
      </c>
      <c r="D164" s="73">
        <v>0</v>
      </c>
      <c r="E164" s="73">
        <v>0</v>
      </c>
      <c r="F164" s="73">
        <v>0.13</v>
      </c>
      <c r="G164" s="73">
        <v>0</v>
      </c>
      <c r="H164" s="73">
        <v>0.13</v>
      </c>
      <c r="I164" s="74"/>
    </row>
    <row r="165" spans="1:9" ht="13.15" customHeight="1" x14ac:dyDescent="0.25">
      <c r="A165" s="70">
        <v>27002</v>
      </c>
      <c r="B165" s="70" t="s">
        <v>595</v>
      </c>
      <c r="C165" s="72" t="s">
        <v>760</v>
      </c>
      <c r="D165" s="73">
        <v>0</v>
      </c>
      <c r="E165" s="73">
        <v>0</v>
      </c>
      <c r="F165" s="73">
        <v>0.13</v>
      </c>
      <c r="G165" s="73">
        <v>0</v>
      </c>
      <c r="H165" s="73">
        <v>0.13</v>
      </c>
      <c r="I165" s="74"/>
    </row>
    <row r="166" spans="1:9" ht="13.15" customHeight="1" x14ac:dyDescent="0.25">
      <c r="A166" s="70">
        <v>27003</v>
      </c>
      <c r="B166" s="70" t="s">
        <v>596</v>
      </c>
      <c r="C166" s="72" t="s">
        <v>759</v>
      </c>
      <c r="D166" s="73">
        <v>0</v>
      </c>
      <c r="E166" s="73">
        <v>0</v>
      </c>
      <c r="F166" s="73">
        <v>0.13</v>
      </c>
      <c r="G166" s="73">
        <v>0</v>
      </c>
      <c r="H166" s="73">
        <v>0.13</v>
      </c>
      <c r="I166" s="74"/>
    </row>
    <row r="167" spans="1:9" ht="13.15" customHeight="1" x14ac:dyDescent="0.25">
      <c r="A167" s="70">
        <v>28001</v>
      </c>
      <c r="B167" s="70" t="s">
        <v>597</v>
      </c>
      <c r="C167" s="72" t="s">
        <v>761</v>
      </c>
      <c r="D167" s="73">
        <v>0.06</v>
      </c>
      <c r="E167" s="73">
        <v>0</v>
      </c>
      <c r="F167" s="73">
        <v>0.13</v>
      </c>
      <c r="G167" s="73">
        <v>0</v>
      </c>
      <c r="H167" s="73">
        <v>0.13</v>
      </c>
      <c r="I167" s="74"/>
    </row>
    <row r="168" spans="1:9" ht="13.15" customHeight="1" x14ac:dyDescent="0.25">
      <c r="A168" s="70">
        <v>28002</v>
      </c>
      <c r="B168" s="70" t="s">
        <v>598</v>
      </c>
      <c r="C168" s="72" t="s">
        <v>762</v>
      </c>
      <c r="D168" s="73">
        <v>0.06</v>
      </c>
      <c r="E168" s="73">
        <v>0</v>
      </c>
      <c r="F168" s="73">
        <v>0.13</v>
      </c>
      <c r="G168" s="73">
        <v>0</v>
      </c>
      <c r="H168" s="73">
        <v>0.13</v>
      </c>
      <c r="I168" s="74"/>
    </row>
    <row r="169" spans="1:9" ht="13.15" customHeight="1" x14ac:dyDescent="0.25">
      <c r="A169" s="70">
        <v>29001</v>
      </c>
      <c r="B169" s="70" t="s">
        <v>599</v>
      </c>
      <c r="C169" s="72" t="s">
        <v>763</v>
      </c>
      <c r="D169" s="73">
        <v>0.05</v>
      </c>
      <c r="E169" s="73">
        <v>0</v>
      </c>
      <c r="F169" s="73">
        <v>0.13</v>
      </c>
      <c r="G169" s="73">
        <v>0</v>
      </c>
      <c r="H169" s="73">
        <v>0.13</v>
      </c>
      <c r="I169" s="74"/>
    </row>
    <row r="170" spans="1:9" ht="13.15" customHeight="1" x14ac:dyDescent="0.25">
      <c r="A170" s="70">
        <v>30001</v>
      </c>
      <c r="B170" s="70" t="s">
        <v>600</v>
      </c>
      <c r="C170" s="72" t="s">
        <v>764</v>
      </c>
      <c r="D170" s="73">
        <v>0.04</v>
      </c>
      <c r="E170" s="73">
        <v>0</v>
      </c>
      <c r="F170" s="73">
        <v>0.13</v>
      </c>
      <c r="G170" s="73">
        <v>0</v>
      </c>
      <c r="H170" s="73">
        <v>0</v>
      </c>
      <c r="I170" s="74"/>
    </row>
    <row r="171" spans="1:9" ht="13.15" customHeight="1" x14ac:dyDescent="0.25">
      <c r="A171" s="70">
        <v>31001</v>
      </c>
      <c r="B171" s="70" t="s">
        <v>601</v>
      </c>
      <c r="C171" s="72" t="s">
        <v>765</v>
      </c>
      <c r="D171" s="73">
        <v>0.1</v>
      </c>
      <c r="E171" s="73">
        <v>0</v>
      </c>
      <c r="F171" s="73">
        <v>0.13</v>
      </c>
      <c r="G171" s="73">
        <v>0</v>
      </c>
      <c r="H171" s="73">
        <v>0</v>
      </c>
      <c r="I171" s="74"/>
    </row>
    <row r="172" spans="1:9" ht="13.15" customHeight="1" x14ac:dyDescent="0.25">
      <c r="A172" s="70">
        <v>31002</v>
      </c>
      <c r="B172" s="70" t="s">
        <v>602</v>
      </c>
      <c r="C172" s="72" t="s">
        <v>750</v>
      </c>
      <c r="D172" s="73">
        <v>0.1</v>
      </c>
      <c r="E172" s="73">
        <v>0</v>
      </c>
      <c r="F172" s="73">
        <v>0.13</v>
      </c>
      <c r="G172" s="73">
        <v>0</v>
      </c>
      <c r="H172" s="73">
        <v>0</v>
      </c>
      <c r="I172" s="74"/>
    </row>
    <row r="173" spans="1:9" ht="13.15" customHeight="1" x14ac:dyDescent="0.25">
      <c r="A173" s="70">
        <v>31003</v>
      </c>
      <c r="B173" s="70" t="s">
        <v>603</v>
      </c>
      <c r="C173" s="72" t="s">
        <v>766</v>
      </c>
      <c r="D173" s="73">
        <v>0.08</v>
      </c>
      <c r="E173" s="73">
        <v>0</v>
      </c>
      <c r="F173" s="73">
        <v>0.13</v>
      </c>
      <c r="G173" s="73">
        <v>0</v>
      </c>
      <c r="H173" s="73">
        <v>0</v>
      </c>
      <c r="I173" s="74"/>
    </row>
    <row r="174" spans="1:9" ht="13.15" customHeight="1" x14ac:dyDescent="0.25">
      <c r="A174" s="70">
        <v>32001</v>
      </c>
      <c r="B174" s="70" t="s">
        <v>604</v>
      </c>
      <c r="C174" s="72" t="s">
        <v>767</v>
      </c>
      <c r="D174" s="73">
        <v>0.1</v>
      </c>
      <c r="E174" s="73">
        <v>0</v>
      </c>
      <c r="F174" s="73">
        <v>0.13</v>
      </c>
      <c r="G174" s="73">
        <v>0.1</v>
      </c>
      <c r="H174" s="73">
        <v>0</v>
      </c>
      <c r="I174" s="74"/>
    </row>
    <row r="175" spans="1:9" ht="13.15" customHeight="1" x14ac:dyDescent="0.25">
      <c r="A175" s="70">
        <v>32002</v>
      </c>
      <c r="B175" s="70" t="s">
        <v>605</v>
      </c>
      <c r="C175" s="72">
        <v>7116200000</v>
      </c>
      <c r="D175" s="73">
        <v>0.1</v>
      </c>
      <c r="E175" s="73">
        <v>0</v>
      </c>
      <c r="F175" s="73">
        <v>0.13</v>
      </c>
      <c r="G175" s="73">
        <v>0.1</v>
      </c>
      <c r="H175" s="73">
        <v>0</v>
      </c>
      <c r="I175" s="74"/>
    </row>
    <row r="176" spans="1:9" ht="13.15" customHeight="1" x14ac:dyDescent="0.25">
      <c r="A176" s="70">
        <v>32003</v>
      </c>
      <c r="B176" s="70" t="s">
        <v>606</v>
      </c>
      <c r="C176" s="72">
        <v>7116200000</v>
      </c>
      <c r="D176" s="73">
        <v>0.1</v>
      </c>
      <c r="E176" s="73">
        <v>0</v>
      </c>
      <c r="F176" s="73">
        <v>0.13</v>
      </c>
      <c r="G176" s="73">
        <v>0.1</v>
      </c>
      <c r="H176" s="73">
        <v>0</v>
      </c>
      <c r="I176" s="74"/>
    </row>
    <row r="177" spans="1:9" ht="13.15" customHeight="1" x14ac:dyDescent="0.25">
      <c r="A177" s="70">
        <v>32004</v>
      </c>
      <c r="B177" s="70" t="s">
        <v>607</v>
      </c>
      <c r="C177" s="72">
        <v>7116200000</v>
      </c>
      <c r="D177" s="73">
        <v>0.1</v>
      </c>
      <c r="E177" s="73">
        <v>0</v>
      </c>
      <c r="F177" s="73">
        <v>0.13</v>
      </c>
      <c r="G177" s="73">
        <v>0.1</v>
      </c>
      <c r="H177" s="73">
        <v>0</v>
      </c>
      <c r="I177" s="74"/>
    </row>
    <row r="178" spans="1:9" ht="13.15" customHeight="1" x14ac:dyDescent="0.25">
      <c r="A178" s="70">
        <v>32005</v>
      </c>
      <c r="B178" s="70" t="s">
        <v>608</v>
      </c>
      <c r="C178" s="72">
        <v>7116200000</v>
      </c>
      <c r="D178" s="73">
        <v>0.1</v>
      </c>
      <c r="E178" s="73">
        <v>0</v>
      </c>
      <c r="F178" s="73">
        <v>0.13</v>
      </c>
      <c r="G178" s="73">
        <v>0.1</v>
      </c>
      <c r="H178" s="73">
        <v>0</v>
      </c>
      <c r="I178" s="74"/>
    </row>
    <row r="179" spans="1:9" ht="13.15" customHeight="1" x14ac:dyDescent="0.25">
      <c r="A179" s="70">
        <v>32006</v>
      </c>
      <c r="B179" s="70" t="s">
        <v>609</v>
      </c>
      <c r="C179" s="72" t="s">
        <v>768</v>
      </c>
      <c r="D179" s="73">
        <f>10*0.01</f>
        <v>0.1</v>
      </c>
      <c r="E179" s="73">
        <v>0</v>
      </c>
      <c r="F179" s="73">
        <v>0.13</v>
      </c>
      <c r="G179" s="73">
        <v>0.1</v>
      </c>
      <c r="H179" s="73">
        <v>0.06</v>
      </c>
      <c r="I179" s="74"/>
    </row>
    <row r="180" spans="1:9" ht="13.15" customHeight="1" x14ac:dyDescent="0.25">
      <c r="A180" s="70">
        <v>32007</v>
      </c>
      <c r="B180" s="70" t="s">
        <v>610</v>
      </c>
      <c r="C180" s="72">
        <v>7116200000</v>
      </c>
      <c r="D180" s="73">
        <v>0.1</v>
      </c>
      <c r="E180" s="73">
        <v>0</v>
      </c>
      <c r="F180" s="73">
        <v>0.13</v>
      </c>
      <c r="G180" s="73">
        <v>0.1</v>
      </c>
      <c r="H180" s="73">
        <v>0</v>
      </c>
      <c r="I180" s="74"/>
    </row>
    <row r="181" spans="1:9" ht="13.15" customHeight="1" x14ac:dyDescent="0.25">
      <c r="A181" s="70">
        <v>32008</v>
      </c>
      <c r="B181" s="70" t="s">
        <v>611</v>
      </c>
      <c r="C181" s="72">
        <v>7116200000</v>
      </c>
      <c r="D181" s="73">
        <v>0.1</v>
      </c>
      <c r="E181" s="73">
        <v>0</v>
      </c>
      <c r="F181" s="73">
        <v>0.13</v>
      </c>
      <c r="G181" s="73">
        <v>0.1</v>
      </c>
      <c r="H181" s="73">
        <v>0</v>
      </c>
      <c r="I181" s="74"/>
    </row>
    <row r="182" spans="1:9" ht="13.15" customHeight="1" x14ac:dyDescent="0.25">
      <c r="A182" s="70">
        <v>33001</v>
      </c>
      <c r="B182" s="70" t="s">
        <v>612</v>
      </c>
      <c r="C182" s="72" t="s">
        <v>769</v>
      </c>
      <c r="D182" s="73">
        <v>0.1</v>
      </c>
      <c r="E182" s="73">
        <v>0</v>
      </c>
      <c r="F182" s="73">
        <v>0.13</v>
      </c>
      <c r="G182" s="73">
        <v>0</v>
      </c>
      <c r="H182" s="73">
        <v>0.13</v>
      </c>
      <c r="I182" s="74"/>
    </row>
    <row r="183" spans="1:9" ht="13.15" customHeight="1" x14ac:dyDescent="0.25">
      <c r="A183" s="70">
        <v>33002</v>
      </c>
      <c r="B183" s="70" t="s">
        <v>613</v>
      </c>
      <c r="C183" s="72" t="s">
        <v>770</v>
      </c>
      <c r="D183" s="73">
        <v>0.08</v>
      </c>
      <c r="E183" s="73">
        <v>0</v>
      </c>
      <c r="F183" s="73">
        <v>0.13</v>
      </c>
      <c r="G183" s="73">
        <v>0.2</v>
      </c>
      <c r="H183" s="73">
        <v>0.13</v>
      </c>
      <c r="I183" s="74"/>
    </row>
    <row r="184" spans="1:9" ht="13.15" customHeight="1" x14ac:dyDescent="0.25">
      <c r="A184" s="70">
        <v>34002</v>
      </c>
      <c r="B184" s="70" t="s">
        <v>614</v>
      </c>
      <c r="C184" s="72" t="s">
        <v>771</v>
      </c>
      <c r="D184" s="73">
        <v>0.25</v>
      </c>
      <c r="E184" s="73">
        <v>0</v>
      </c>
      <c r="F184" s="73">
        <v>0.09</v>
      </c>
      <c r="G184" s="73">
        <v>0</v>
      </c>
      <c r="H184" s="73">
        <v>0.09</v>
      </c>
      <c r="I184" s="74" t="s">
        <v>642</v>
      </c>
    </row>
    <row r="185" spans="1:9" ht="13.15" customHeight="1" x14ac:dyDescent="0.25">
      <c r="A185" s="70">
        <v>35001</v>
      </c>
      <c r="B185" s="70" t="s">
        <v>615</v>
      </c>
      <c r="C185" s="72" t="s">
        <v>772</v>
      </c>
      <c r="D185" s="73">
        <v>0.06</v>
      </c>
      <c r="E185" s="73">
        <v>0</v>
      </c>
      <c r="F185" s="73">
        <v>0.13</v>
      </c>
      <c r="G185" s="73">
        <v>0</v>
      </c>
      <c r="H185" s="73">
        <v>0.13</v>
      </c>
      <c r="I185" s="74"/>
    </row>
    <row r="186" spans="1:9" ht="13.15" customHeight="1" x14ac:dyDescent="0.25">
      <c r="A186" s="70">
        <v>36001</v>
      </c>
      <c r="B186" s="70" t="s">
        <v>616</v>
      </c>
      <c r="C186" s="72" t="s">
        <v>773</v>
      </c>
      <c r="D186" s="73">
        <v>0.06</v>
      </c>
      <c r="E186" s="73">
        <v>0</v>
      </c>
      <c r="F186" s="73">
        <v>0.13</v>
      </c>
      <c r="G186" s="73">
        <v>0</v>
      </c>
      <c r="H186" s="73">
        <v>0.13</v>
      </c>
      <c r="I186" s="74"/>
    </row>
    <row r="187" spans="1:9" ht="13.15" customHeight="1" x14ac:dyDescent="0.25">
      <c r="A187" s="70">
        <v>36002</v>
      </c>
      <c r="B187" s="70" t="s">
        <v>617</v>
      </c>
      <c r="C187" s="72" t="s">
        <v>774</v>
      </c>
      <c r="D187" s="73">
        <v>0.06</v>
      </c>
      <c r="E187" s="73">
        <v>0</v>
      </c>
      <c r="F187" s="73">
        <v>0.13</v>
      </c>
      <c r="G187" s="73">
        <v>0</v>
      </c>
      <c r="H187" s="73">
        <v>0.13</v>
      </c>
      <c r="I187" s="74"/>
    </row>
    <row r="188" spans="1:9" ht="13.15" customHeight="1" x14ac:dyDescent="0.25">
      <c r="A188" s="70">
        <v>37001</v>
      </c>
      <c r="B188" s="70" t="s">
        <v>618</v>
      </c>
      <c r="C188" s="72" t="s">
        <v>775</v>
      </c>
      <c r="D188" s="73">
        <v>0.12</v>
      </c>
      <c r="E188" s="73">
        <v>0</v>
      </c>
      <c r="F188" s="73">
        <v>0.13</v>
      </c>
      <c r="G188" s="73">
        <v>0</v>
      </c>
      <c r="H188" s="73">
        <v>0.13</v>
      </c>
      <c r="I188" s="74"/>
    </row>
    <row r="189" spans="1:9" ht="13.15" customHeight="1" x14ac:dyDescent="0.25">
      <c r="A189" s="70">
        <v>38001</v>
      </c>
      <c r="B189" s="70" t="s">
        <v>619</v>
      </c>
      <c r="C189" s="72" t="s">
        <v>776</v>
      </c>
      <c r="D189" s="73">
        <v>0.2</v>
      </c>
      <c r="E189" s="73">
        <v>0</v>
      </c>
      <c r="F189" s="73">
        <v>0.09</v>
      </c>
      <c r="G189" s="73">
        <v>0</v>
      </c>
      <c r="H189" s="73">
        <v>0.09</v>
      </c>
      <c r="I189" s="74" t="s">
        <v>642</v>
      </c>
    </row>
    <row r="190" spans="1:9" ht="13.15" customHeight="1" x14ac:dyDescent="0.25">
      <c r="A190" s="70">
        <v>38002</v>
      </c>
      <c r="B190" s="70" t="s">
        <v>620</v>
      </c>
      <c r="C190" s="72" t="s">
        <v>777</v>
      </c>
      <c r="D190" s="73">
        <v>0.1</v>
      </c>
      <c r="E190" s="73">
        <v>0</v>
      </c>
      <c r="F190" s="73">
        <v>0.09</v>
      </c>
      <c r="G190" s="73">
        <v>0</v>
      </c>
      <c r="H190" s="73">
        <v>0.09</v>
      </c>
      <c r="I190" s="74" t="s">
        <v>642</v>
      </c>
    </row>
    <row r="191" spans="1:9" ht="13.15" customHeight="1" x14ac:dyDescent="0.25">
      <c r="A191" s="70">
        <v>38003</v>
      </c>
      <c r="B191" s="70" t="s">
        <v>621</v>
      </c>
      <c r="C191" s="72" t="s">
        <v>778</v>
      </c>
      <c r="D191" s="73">
        <v>0.12</v>
      </c>
      <c r="E191" s="73">
        <v>0</v>
      </c>
      <c r="F191" s="73">
        <v>0.09</v>
      </c>
      <c r="G191" s="73">
        <v>0</v>
      </c>
      <c r="H191" s="73">
        <v>0.09</v>
      </c>
      <c r="I191" s="74" t="s">
        <v>642</v>
      </c>
    </row>
    <row r="192" spans="1:9" ht="13.15" customHeight="1" x14ac:dyDescent="0.25">
      <c r="A192" s="70">
        <v>38004</v>
      </c>
      <c r="B192" s="70" t="s">
        <v>622</v>
      </c>
      <c r="C192" s="72" t="s">
        <v>779</v>
      </c>
      <c r="D192" s="73">
        <v>0.12</v>
      </c>
      <c r="E192" s="73">
        <v>0</v>
      </c>
      <c r="F192" s="73">
        <v>0.09</v>
      </c>
      <c r="G192" s="73">
        <v>0.13</v>
      </c>
      <c r="H192" s="73">
        <v>0.09</v>
      </c>
      <c r="I192" s="74" t="s">
        <v>642</v>
      </c>
    </row>
    <row r="193" spans="1:9" ht="13.15" customHeight="1" x14ac:dyDescent="0.25">
      <c r="A193" s="70">
        <v>38005</v>
      </c>
      <c r="B193" s="70" t="s">
        <v>623</v>
      </c>
      <c r="C193" s="72" t="s">
        <v>780</v>
      </c>
      <c r="D193" s="73">
        <v>0.12</v>
      </c>
      <c r="E193" s="73">
        <v>0</v>
      </c>
      <c r="F193" s="73">
        <v>0.09</v>
      </c>
      <c r="G193" s="73">
        <v>0</v>
      </c>
      <c r="H193" s="73">
        <v>0.06</v>
      </c>
      <c r="I193" s="74" t="s">
        <v>642</v>
      </c>
    </row>
    <row r="194" spans="1:9" ht="13.15" customHeight="1" x14ac:dyDescent="0.25">
      <c r="A194" s="70">
        <v>39001</v>
      </c>
      <c r="B194" s="70" t="s">
        <v>624</v>
      </c>
      <c r="C194" s="72" t="s">
        <v>781</v>
      </c>
      <c r="D194" s="73">
        <v>0.2</v>
      </c>
      <c r="E194" s="73">
        <v>0</v>
      </c>
      <c r="F194" s="73">
        <v>0.13</v>
      </c>
      <c r="G194" s="73">
        <v>0</v>
      </c>
      <c r="H194" s="73">
        <v>0.09</v>
      </c>
      <c r="I194" s="74" t="s">
        <v>642</v>
      </c>
    </row>
    <row r="195" spans="1:9" ht="13.15" customHeight="1" x14ac:dyDescent="0.25">
      <c r="A195" s="70">
        <v>39002</v>
      </c>
      <c r="B195" s="70" t="s">
        <v>625</v>
      </c>
      <c r="C195" s="72" t="s">
        <v>782</v>
      </c>
      <c r="D195" s="73">
        <v>0.12</v>
      </c>
      <c r="E195" s="73">
        <v>0</v>
      </c>
      <c r="F195" s="73">
        <v>0.13</v>
      </c>
      <c r="G195" s="73">
        <v>0</v>
      </c>
      <c r="H195" s="73">
        <v>0.13</v>
      </c>
      <c r="I195" s="74" t="s">
        <v>642</v>
      </c>
    </row>
    <row r="196" spans="1:9" ht="13.15" customHeight="1" x14ac:dyDescent="0.25">
      <c r="A196" s="70">
        <v>40001</v>
      </c>
      <c r="B196" s="70" t="s">
        <v>626</v>
      </c>
      <c r="C196" s="72" t="s">
        <v>783</v>
      </c>
      <c r="D196" s="73">
        <v>0.08</v>
      </c>
      <c r="E196" s="73">
        <v>0</v>
      </c>
      <c r="F196" s="73">
        <v>0.13</v>
      </c>
      <c r="G196" s="73">
        <v>0</v>
      </c>
      <c r="H196" s="73">
        <v>0.13</v>
      </c>
      <c r="I196" s="74" t="s">
        <v>662</v>
      </c>
    </row>
    <row r="197" spans="1:9" ht="13.15" customHeight="1" x14ac:dyDescent="0.25">
      <c r="A197" s="70">
        <v>40002</v>
      </c>
      <c r="B197" s="70" t="s">
        <v>627</v>
      </c>
      <c r="C197" s="72">
        <v>8506109010</v>
      </c>
      <c r="D197" s="73">
        <v>0.08</v>
      </c>
      <c r="E197" s="73">
        <v>0</v>
      </c>
      <c r="F197" s="73">
        <v>0.13</v>
      </c>
      <c r="G197" s="73">
        <v>0</v>
      </c>
      <c r="H197" s="73">
        <v>0.13</v>
      </c>
      <c r="I197" s="74" t="s">
        <v>662</v>
      </c>
    </row>
    <row r="198" spans="1:9" ht="13.15" customHeight="1" x14ac:dyDescent="0.25">
      <c r="A198" s="70">
        <v>41001</v>
      </c>
      <c r="B198" s="70" t="s">
        <v>628</v>
      </c>
      <c r="C198" s="72" t="s">
        <v>784</v>
      </c>
      <c r="D198" s="73">
        <v>6.5000000000000002E-2</v>
      </c>
      <c r="E198" s="73">
        <v>0</v>
      </c>
      <c r="F198" s="73">
        <v>0.13</v>
      </c>
      <c r="G198" s="73">
        <v>0</v>
      </c>
      <c r="H198" s="73">
        <v>0</v>
      </c>
      <c r="I198" s="74" t="s">
        <v>642</v>
      </c>
    </row>
    <row r="199" spans="1:9" ht="13.15" customHeight="1" x14ac:dyDescent="0.25">
      <c r="A199" s="70">
        <v>41002</v>
      </c>
      <c r="B199" s="70" t="s">
        <v>629</v>
      </c>
      <c r="C199" s="72" t="s">
        <v>784</v>
      </c>
      <c r="D199" s="73">
        <v>6.5000000000000002E-2</v>
      </c>
      <c r="E199" s="73">
        <v>0</v>
      </c>
      <c r="F199" s="73">
        <v>0.13</v>
      </c>
      <c r="G199" s="73">
        <v>0</v>
      </c>
      <c r="H199" s="73">
        <v>0</v>
      </c>
      <c r="I199" s="74" t="s">
        <v>642</v>
      </c>
    </row>
    <row r="200" spans="1:9" ht="13.15" customHeight="1" x14ac:dyDescent="0.25">
      <c r="A200" s="70">
        <v>41003</v>
      </c>
      <c r="B200" s="70" t="s">
        <v>630</v>
      </c>
      <c r="C200" s="72" t="s">
        <v>784</v>
      </c>
      <c r="D200" s="73">
        <v>0.01</v>
      </c>
      <c r="E200" s="73">
        <v>0</v>
      </c>
      <c r="F200" s="73">
        <v>0.13</v>
      </c>
      <c r="G200" s="73">
        <v>0</v>
      </c>
      <c r="H200" s="73">
        <v>0.13</v>
      </c>
      <c r="I200" s="74" t="s">
        <v>642</v>
      </c>
    </row>
    <row r="201" spans="1:9" ht="13.15" customHeight="1" x14ac:dyDescent="0.25">
      <c r="A201" s="70">
        <v>42001</v>
      </c>
      <c r="B201" s="70" t="s">
        <v>631</v>
      </c>
      <c r="C201" s="72" t="s">
        <v>785</v>
      </c>
      <c r="D201" s="73">
        <v>0.03</v>
      </c>
      <c r="E201" s="73">
        <v>0</v>
      </c>
      <c r="F201" s="73">
        <v>0.13</v>
      </c>
      <c r="G201" s="73">
        <v>0</v>
      </c>
      <c r="H201" s="73">
        <v>0.13</v>
      </c>
      <c r="I201" s="74"/>
    </row>
    <row r="202" spans="1:9" ht="13.15" customHeight="1" x14ac:dyDescent="0.25">
      <c r="A202" s="70">
        <v>43001</v>
      </c>
      <c r="B202" s="70" t="s">
        <v>632</v>
      </c>
      <c r="C202" s="72" t="s">
        <v>786</v>
      </c>
      <c r="D202" s="73">
        <v>0</v>
      </c>
      <c r="E202" s="73">
        <v>0</v>
      </c>
      <c r="F202" s="73">
        <v>0.13</v>
      </c>
      <c r="G202" s="73">
        <v>0</v>
      </c>
      <c r="H202" s="73">
        <v>0</v>
      </c>
      <c r="I202" s="74" t="s">
        <v>662</v>
      </c>
    </row>
    <row r="203" spans="1:9" ht="13.15" customHeight="1" x14ac:dyDescent="0.25">
      <c r="A203" s="70">
        <v>44001</v>
      </c>
      <c r="B203" s="70" t="s">
        <v>633</v>
      </c>
      <c r="C203" s="72" t="s">
        <v>787</v>
      </c>
      <c r="D203" s="73">
        <v>0.1</v>
      </c>
      <c r="E203" s="73">
        <v>0</v>
      </c>
      <c r="F203" s="73">
        <v>0.13</v>
      </c>
      <c r="G203" s="73">
        <v>0</v>
      </c>
      <c r="H203" s="73">
        <v>0.13</v>
      </c>
      <c r="I203" s="74"/>
    </row>
    <row r="204" spans="1:9" ht="13.15" customHeight="1" x14ac:dyDescent="0.25">
      <c r="A204" s="70">
        <v>45001</v>
      </c>
      <c r="B204" s="70" t="s">
        <v>634</v>
      </c>
      <c r="C204" s="72" t="s">
        <v>788</v>
      </c>
      <c r="D204" s="73">
        <v>0.1</v>
      </c>
      <c r="E204" s="73">
        <v>0</v>
      </c>
      <c r="F204" s="73">
        <v>0.13</v>
      </c>
      <c r="G204" s="73">
        <v>0</v>
      </c>
      <c r="H204" s="73">
        <v>0.13</v>
      </c>
      <c r="I204" s="74"/>
    </row>
    <row r="205" spans="1:9" ht="13.15" customHeight="1" x14ac:dyDescent="0.25">
      <c r="A205" s="70">
        <v>46001</v>
      </c>
      <c r="B205" s="70" t="s">
        <v>635</v>
      </c>
      <c r="C205" s="72" t="s">
        <v>789</v>
      </c>
      <c r="D205" s="73">
        <v>0.01</v>
      </c>
      <c r="E205" s="73">
        <v>0</v>
      </c>
      <c r="F205" s="73">
        <v>0.13</v>
      </c>
      <c r="G205" s="73">
        <v>0</v>
      </c>
      <c r="H205" s="73">
        <v>0</v>
      </c>
      <c r="I205" s="74"/>
    </row>
    <row r="206" spans="1:9" ht="13.15" customHeight="1" x14ac:dyDescent="0.25">
      <c r="A206" s="70">
        <v>47001</v>
      </c>
      <c r="B206" s="70" t="s">
        <v>636</v>
      </c>
      <c r="C206" s="72" t="s">
        <v>790</v>
      </c>
      <c r="D206" s="73">
        <v>0.1</v>
      </c>
      <c r="E206" s="73">
        <v>0</v>
      </c>
      <c r="F206" s="73">
        <v>0.13</v>
      </c>
      <c r="G206" s="73">
        <v>0</v>
      </c>
      <c r="H206" s="73">
        <v>0.13</v>
      </c>
      <c r="I206" s="74"/>
    </row>
    <row r="207" spans="1:9" ht="13.15" customHeight="1" x14ac:dyDescent="0.25">
      <c r="A207" s="70">
        <v>48001</v>
      </c>
      <c r="B207" s="70" t="s">
        <v>637</v>
      </c>
      <c r="C207" s="72" t="s">
        <v>791</v>
      </c>
      <c r="D207" s="73">
        <v>0.04</v>
      </c>
      <c r="E207" s="73">
        <v>0</v>
      </c>
      <c r="F207" s="73">
        <v>0.13</v>
      </c>
      <c r="G207" s="73">
        <v>0</v>
      </c>
      <c r="H207" s="73">
        <v>0.13</v>
      </c>
      <c r="I207" s="74"/>
    </row>
    <row r="208" spans="1:9" ht="13.15" customHeight="1" x14ac:dyDescent="0.25">
      <c r="A208" s="70">
        <v>49001</v>
      </c>
      <c r="B208" s="70" t="s">
        <v>638</v>
      </c>
      <c r="C208" s="72" t="s">
        <v>792</v>
      </c>
      <c r="D208" s="73">
        <v>1.7999999999999999E-2</v>
      </c>
      <c r="E208" s="73">
        <v>0</v>
      </c>
      <c r="F208" s="73">
        <v>0.13</v>
      </c>
      <c r="G208" s="73">
        <v>0</v>
      </c>
      <c r="H208" s="73">
        <v>0.13</v>
      </c>
      <c r="I208" s="74"/>
    </row>
    <row r="209" spans="1:9" ht="13.15" customHeight="1" x14ac:dyDescent="0.25">
      <c r="A209" s="70">
        <v>50001</v>
      </c>
      <c r="B209" s="70" t="s">
        <v>639</v>
      </c>
      <c r="C209" s="72" t="s">
        <v>793</v>
      </c>
      <c r="D209" s="73">
        <v>0</v>
      </c>
      <c r="E209" s="73">
        <v>0</v>
      </c>
      <c r="F209" s="73">
        <v>0.09</v>
      </c>
      <c r="G209" s="73">
        <v>0</v>
      </c>
      <c r="H209" s="73">
        <v>0.09</v>
      </c>
      <c r="I209" s="74" t="s">
        <v>642</v>
      </c>
    </row>
    <row r="210" spans="1:9" ht="13.15" customHeight="1" x14ac:dyDescent="0.25">
      <c r="A210" s="70">
        <v>51001</v>
      </c>
      <c r="B210" s="70" t="s">
        <v>640</v>
      </c>
      <c r="C210" s="72" t="s">
        <v>794</v>
      </c>
      <c r="D210" s="73">
        <v>0.12</v>
      </c>
      <c r="E210" s="73">
        <v>0</v>
      </c>
      <c r="F210" s="73">
        <v>0.13</v>
      </c>
      <c r="G210" s="73">
        <v>0</v>
      </c>
      <c r="H210" s="73">
        <v>0.13</v>
      </c>
      <c r="I210" s="74" t="s">
        <v>642</v>
      </c>
    </row>
  </sheetData>
  <autoFilter ref="A1:L210" xr:uid="{00000000-0009-0000-0000-000007000000}"/>
  <phoneticPr fontId="35" type="noConversion"/>
  <hyperlinks>
    <hyperlink ref="I122" r:id="rId1" xr:uid="{00000000-0004-0000-0700-000000000000}"/>
    <hyperlink ref="I123" r:id="rId2" xr:uid="{00000000-0004-0000-0700-000001000000}"/>
    <hyperlink ref="I127" r:id="rId3" xr:uid="{00000000-0004-0000-0700-000002000000}"/>
    <hyperlink ref="I128" r:id="rId4" xr:uid="{00000000-0004-0000-0700-000003000000}"/>
    <hyperlink ref="I129" r:id="rId5" xr:uid="{00000000-0004-0000-0700-000004000000}"/>
    <hyperlink ref="I130" r:id="rId6" xr:uid="{00000000-0004-0000-0700-000005000000}"/>
    <hyperlink ref="I131" r:id="rId7" xr:uid="{00000000-0004-0000-0700-000006000000}"/>
    <hyperlink ref="I133" r:id="rId8" xr:uid="{00000000-0004-0000-0700-000007000000}"/>
    <hyperlink ref="I134" r:id="rId9" display="7" xr:uid="{00000000-0004-0000-0700-000008000000}"/>
    <hyperlink ref="I135" r:id="rId10" display="7" xr:uid="{00000000-0004-0000-0700-000009000000}"/>
    <hyperlink ref="I136" r:id="rId11" display="7" xr:uid="{00000000-0004-0000-0700-00000A000000}"/>
    <hyperlink ref="I137" r:id="rId12" display="7" xr:uid="{00000000-0004-0000-0700-00000B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T29"/>
  <sheetViews>
    <sheetView topLeftCell="B1" workbookViewId="0">
      <selection activeCell="D11" sqref="D11"/>
    </sheetView>
  </sheetViews>
  <sheetFormatPr defaultColWidth="9.69140625" defaultRowHeight="13.15" customHeight="1" x14ac:dyDescent="0.25"/>
  <cols>
    <col min="3" max="3" width="20.69140625" style="1" customWidth="1"/>
    <col min="9" max="9" width="8.69140625" style="1" customWidth="1"/>
    <col min="10" max="10" width="10.3046875" style="1" customWidth="1"/>
    <col min="11" max="12" width="8" style="1" customWidth="1"/>
    <col min="13" max="13" width="10.4609375" style="1" customWidth="1"/>
    <col min="15" max="15" width="6.69140625" style="1" customWidth="1"/>
    <col min="18" max="18" width="14.15234375" style="1" customWidth="1"/>
    <col min="20" max="20" width="17" style="1" customWidth="1"/>
  </cols>
  <sheetData>
    <row r="2" spans="2:20" ht="13.15" customHeight="1" x14ac:dyDescent="0.25">
      <c r="B2" s="23"/>
      <c r="C2" s="5" t="s">
        <v>795</v>
      </c>
      <c r="D2" s="5"/>
      <c r="E2" s="5"/>
      <c r="F2" s="50" t="s">
        <v>796</v>
      </c>
      <c r="G2" s="51"/>
      <c r="H2" s="51"/>
      <c r="I2" s="51"/>
      <c r="J2" s="50" t="s">
        <v>797</v>
      </c>
      <c r="K2" s="51"/>
      <c r="M2" s="5"/>
      <c r="N2" s="5"/>
      <c r="O2" s="5"/>
      <c r="P2" s="5"/>
    </row>
    <row r="3" spans="2:20" ht="31.25" customHeight="1" x14ac:dyDescent="0.25">
      <c r="B3" s="23"/>
      <c r="C3" s="51" t="s">
        <v>798</v>
      </c>
      <c r="D3" s="51" t="s">
        <v>799</v>
      </c>
      <c r="E3" s="51" t="s">
        <v>800</v>
      </c>
      <c r="F3" s="51" t="s">
        <v>801</v>
      </c>
      <c r="G3" s="51" t="s">
        <v>802</v>
      </c>
      <c r="I3" s="51" t="s">
        <v>803</v>
      </c>
      <c r="J3" s="51" t="s">
        <v>804</v>
      </c>
      <c r="K3" s="51" t="s">
        <v>805</v>
      </c>
      <c r="L3" s="5"/>
      <c r="M3" s="51" t="s">
        <v>806</v>
      </c>
      <c r="N3" s="51" t="s">
        <v>807</v>
      </c>
      <c r="O3" s="51" t="s">
        <v>808</v>
      </c>
      <c r="P3" s="51" t="s">
        <v>809</v>
      </c>
    </row>
    <row r="4" spans="2:20" ht="13.15" customHeight="1" x14ac:dyDescent="0.25">
      <c r="B4" s="52" t="s">
        <v>21</v>
      </c>
      <c r="C4" s="50" t="s">
        <v>332</v>
      </c>
      <c r="D4" s="53">
        <v>320</v>
      </c>
      <c r="E4" s="53">
        <v>32</v>
      </c>
      <c r="F4" s="53">
        <v>32</v>
      </c>
      <c r="G4" s="53">
        <v>32</v>
      </c>
      <c r="I4" s="53">
        <v>32</v>
      </c>
      <c r="J4" s="53">
        <v>32</v>
      </c>
      <c r="K4" s="53">
        <v>32</v>
      </c>
      <c r="L4" s="5"/>
      <c r="M4" s="62">
        <v>49</v>
      </c>
      <c r="N4" s="53">
        <v>16</v>
      </c>
      <c r="O4" s="53">
        <v>212</v>
      </c>
      <c r="P4" s="53">
        <v>6</v>
      </c>
    </row>
    <row r="5" spans="2:20" ht="13.15" customHeight="1" x14ac:dyDescent="0.25">
      <c r="B5" s="52" t="s">
        <v>74</v>
      </c>
      <c r="C5" s="50" t="s">
        <v>338</v>
      </c>
      <c r="D5" s="53">
        <v>540</v>
      </c>
      <c r="E5" s="53">
        <v>54</v>
      </c>
      <c r="F5" s="53">
        <v>54</v>
      </c>
      <c r="G5" s="53">
        <v>54</v>
      </c>
      <c r="I5" s="53">
        <v>54</v>
      </c>
      <c r="J5" s="53">
        <v>54</v>
      </c>
      <c r="K5" s="53">
        <v>54</v>
      </c>
      <c r="L5" s="5"/>
      <c r="M5" s="53">
        <v>82</v>
      </c>
      <c r="N5" s="53">
        <v>27</v>
      </c>
      <c r="O5" s="53">
        <v>412</v>
      </c>
      <c r="P5" s="53">
        <v>14</v>
      </c>
      <c r="R5" s="1">
        <f>VLOOKUP(进出口预算表!C7,银行手续费,9,0)</f>
        <v>690</v>
      </c>
    </row>
    <row r="6" spans="2:20" ht="13.15" customHeight="1" x14ac:dyDescent="0.25">
      <c r="B6" s="52" t="s">
        <v>69</v>
      </c>
      <c r="C6" s="50" t="s">
        <v>340</v>
      </c>
      <c r="D6" s="53">
        <v>280</v>
      </c>
      <c r="E6" s="53">
        <v>28</v>
      </c>
      <c r="F6" s="53">
        <v>28</v>
      </c>
      <c r="G6" s="53">
        <v>28</v>
      </c>
      <c r="I6" s="53">
        <v>28</v>
      </c>
      <c r="J6" s="53">
        <v>28</v>
      </c>
      <c r="K6" s="53">
        <v>28</v>
      </c>
      <c r="L6" s="5"/>
      <c r="M6" s="53">
        <v>43</v>
      </c>
      <c r="N6" s="53">
        <v>14</v>
      </c>
      <c r="O6" s="53">
        <v>213</v>
      </c>
      <c r="P6" s="53">
        <v>7</v>
      </c>
    </row>
    <row r="7" spans="2:20" s="48" customFormat="1" ht="13.15" customHeight="1" x14ac:dyDescent="0.25">
      <c r="B7" s="54" t="s">
        <v>38</v>
      </c>
      <c r="C7" s="55" t="s">
        <v>342</v>
      </c>
      <c r="D7" s="55">
        <v>190</v>
      </c>
      <c r="E7" s="55">
        <v>19</v>
      </c>
      <c r="F7" s="55">
        <v>19</v>
      </c>
      <c r="G7" s="55">
        <v>19</v>
      </c>
      <c r="I7" s="55">
        <v>19</v>
      </c>
      <c r="J7" s="55">
        <v>19</v>
      </c>
      <c r="K7" s="55">
        <v>19</v>
      </c>
      <c r="L7" s="39"/>
      <c r="M7" s="55">
        <v>29</v>
      </c>
      <c r="N7" s="55">
        <v>9</v>
      </c>
      <c r="O7" s="55">
        <v>130</v>
      </c>
      <c r="P7" s="55">
        <v>2</v>
      </c>
    </row>
    <row r="8" spans="2:20" ht="13.15" customHeight="1" x14ac:dyDescent="0.25">
      <c r="B8" s="52" t="s">
        <v>45</v>
      </c>
      <c r="C8" s="50" t="s">
        <v>334</v>
      </c>
      <c r="D8" s="53">
        <v>130</v>
      </c>
      <c r="E8" s="53">
        <v>13</v>
      </c>
      <c r="F8" s="53">
        <v>13</v>
      </c>
      <c r="G8" s="53">
        <v>13</v>
      </c>
      <c r="I8" s="53">
        <v>13</v>
      </c>
      <c r="J8" s="53">
        <v>13</v>
      </c>
      <c r="K8" s="53">
        <v>13</v>
      </c>
      <c r="L8" s="5"/>
      <c r="M8" s="53">
        <v>19</v>
      </c>
      <c r="N8" s="53">
        <v>6</v>
      </c>
      <c r="O8" s="53">
        <v>99</v>
      </c>
      <c r="P8" s="53">
        <v>1</v>
      </c>
    </row>
    <row r="9" spans="2:20" ht="13.15" customHeight="1" x14ac:dyDescent="0.25">
      <c r="B9" s="52" t="s">
        <v>52</v>
      </c>
      <c r="C9" s="50" t="s">
        <v>344</v>
      </c>
      <c r="D9" s="53">
        <v>30900</v>
      </c>
      <c r="E9" s="53">
        <v>3090</v>
      </c>
      <c r="F9" s="53">
        <v>3090</v>
      </c>
      <c r="G9" s="53">
        <v>3090</v>
      </c>
      <c r="I9" s="53">
        <v>3090</v>
      </c>
      <c r="J9" s="53">
        <v>3090</v>
      </c>
      <c r="K9" s="53">
        <v>3090</v>
      </c>
      <c r="L9" s="5"/>
      <c r="M9" s="53">
        <v>4640</v>
      </c>
      <c r="N9" s="53">
        <v>1550</v>
      </c>
      <c r="O9" s="53">
        <v>23513</v>
      </c>
      <c r="P9" s="53">
        <v>794</v>
      </c>
    </row>
    <row r="10" spans="2:20" s="49" customFormat="1" ht="13.15" customHeight="1" x14ac:dyDescent="0.25">
      <c r="B10" s="56" t="s">
        <v>16</v>
      </c>
      <c r="C10" s="57" t="s">
        <v>134</v>
      </c>
      <c r="D10" s="57">
        <v>2000</v>
      </c>
      <c r="E10" s="57">
        <v>200</v>
      </c>
      <c r="F10" s="57">
        <v>200</v>
      </c>
      <c r="G10" s="57">
        <v>200</v>
      </c>
      <c r="I10" s="57">
        <v>200</v>
      </c>
      <c r="J10" s="57">
        <v>200</v>
      </c>
      <c r="K10" s="57">
        <v>200</v>
      </c>
      <c r="L10" s="63"/>
      <c r="M10" s="57">
        <v>300</v>
      </c>
      <c r="N10" s="57">
        <v>100</v>
      </c>
      <c r="O10" s="57">
        <v>1521</v>
      </c>
      <c r="P10" s="57">
        <v>52</v>
      </c>
      <c r="R10" s="67"/>
      <c r="T10" s="67"/>
    </row>
    <row r="11" spans="2:20" ht="13.15" customHeight="1" x14ac:dyDescent="0.25">
      <c r="B11" s="52" t="s">
        <v>56</v>
      </c>
      <c r="C11" s="50" t="s">
        <v>336</v>
      </c>
      <c r="D11" s="53">
        <v>6900</v>
      </c>
      <c r="E11" s="53">
        <v>690</v>
      </c>
      <c r="F11" s="53">
        <v>690</v>
      </c>
      <c r="G11" s="53">
        <v>690</v>
      </c>
      <c r="I11" s="53">
        <v>690</v>
      </c>
      <c r="J11" s="53">
        <v>690</v>
      </c>
      <c r="K11" s="53">
        <v>690</v>
      </c>
      <c r="L11" s="5"/>
      <c r="M11" s="53">
        <v>1030</v>
      </c>
      <c r="N11" s="53">
        <v>340</v>
      </c>
      <c r="O11" s="53">
        <v>5246</v>
      </c>
      <c r="P11" s="53">
        <v>173</v>
      </c>
    </row>
    <row r="12" spans="2:20" ht="13.15" customHeight="1" x14ac:dyDescent="0.25">
      <c r="B12" s="52" t="s">
        <v>64</v>
      </c>
      <c r="C12" s="50" t="s">
        <v>127</v>
      </c>
      <c r="D12" s="53">
        <v>250</v>
      </c>
      <c r="E12" s="53">
        <v>25</v>
      </c>
      <c r="F12" s="53">
        <v>25</v>
      </c>
      <c r="G12" s="53">
        <v>25</v>
      </c>
      <c r="I12" s="53">
        <v>25</v>
      </c>
      <c r="J12" s="53">
        <v>25</v>
      </c>
      <c r="K12" s="53">
        <v>25</v>
      </c>
      <c r="L12" s="5"/>
      <c r="M12" s="53">
        <v>38</v>
      </c>
      <c r="N12" s="53">
        <v>12</v>
      </c>
      <c r="O12" s="53">
        <v>199</v>
      </c>
      <c r="P12" s="53">
        <v>6</v>
      </c>
    </row>
    <row r="13" spans="2:20" ht="13.15" customHeight="1" x14ac:dyDescent="0.25">
      <c r="B13" s="52" t="s">
        <v>11</v>
      </c>
      <c r="C13" s="50" t="s">
        <v>348</v>
      </c>
      <c r="D13" s="53">
        <v>1800</v>
      </c>
      <c r="E13" s="53">
        <v>180</v>
      </c>
      <c r="F13" s="53">
        <v>180</v>
      </c>
      <c r="G13" s="53">
        <v>180</v>
      </c>
      <c r="I13" s="53">
        <v>180</v>
      </c>
      <c r="J13" s="53">
        <v>180</v>
      </c>
      <c r="K13" s="53">
        <v>180</v>
      </c>
      <c r="L13" s="5"/>
      <c r="M13" s="53">
        <v>280</v>
      </c>
      <c r="N13" s="53">
        <v>92</v>
      </c>
      <c r="O13" s="53">
        <v>1400</v>
      </c>
      <c r="P13" s="53">
        <v>46</v>
      </c>
    </row>
    <row r="14" spans="2:20" ht="13.15" customHeight="1" x14ac:dyDescent="0.25">
      <c r="B14" s="52" t="s">
        <v>810</v>
      </c>
      <c r="C14" s="50">
        <v>1</v>
      </c>
      <c r="D14" s="50">
        <v>2</v>
      </c>
      <c r="E14" s="50">
        <v>3</v>
      </c>
      <c r="F14" s="50">
        <v>4</v>
      </c>
      <c r="G14" s="50">
        <v>5</v>
      </c>
      <c r="H14" s="50">
        <v>6</v>
      </c>
      <c r="I14" s="50">
        <v>7</v>
      </c>
      <c r="J14" s="50">
        <v>8</v>
      </c>
      <c r="K14" s="50">
        <v>9</v>
      </c>
      <c r="L14" s="50">
        <v>10</v>
      </c>
      <c r="M14" s="50">
        <v>11</v>
      </c>
      <c r="N14" s="50">
        <v>12</v>
      </c>
      <c r="O14" s="50">
        <v>13</v>
      </c>
      <c r="P14" s="50">
        <v>14</v>
      </c>
    </row>
    <row r="16" spans="2:20" ht="13.15" customHeight="1" x14ac:dyDescent="0.25">
      <c r="C16" s="5" t="s">
        <v>228</v>
      </c>
      <c r="D16" s="50" t="s">
        <v>21</v>
      </c>
      <c r="E16" s="50" t="s">
        <v>74</v>
      </c>
      <c r="F16" s="50" t="s">
        <v>69</v>
      </c>
      <c r="G16" s="55" t="s">
        <v>38</v>
      </c>
      <c r="H16" s="50" t="s">
        <v>45</v>
      </c>
      <c r="I16" s="50" t="s">
        <v>52</v>
      </c>
      <c r="J16" s="50" t="s">
        <v>16</v>
      </c>
      <c r="K16" s="50" t="s">
        <v>56</v>
      </c>
      <c r="L16" s="50" t="s">
        <v>64</v>
      </c>
      <c r="M16" s="50" t="s">
        <v>11</v>
      </c>
      <c r="N16" s="5"/>
      <c r="O16" s="1" t="s">
        <v>724</v>
      </c>
      <c r="R16" s="5" t="s">
        <v>811</v>
      </c>
      <c r="S16" s="5"/>
    </row>
    <row r="17" spans="3:19" ht="14.25" customHeight="1" x14ac:dyDescent="0.25">
      <c r="C17" s="5" t="s">
        <v>812</v>
      </c>
      <c r="D17" s="58">
        <v>0.25</v>
      </c>
      <c r="E17" s="58">
        <v>0.25</v>
      </c>
      <c r="F17" s="58">
        <v>0.25</v>
      </c>
      <c r="G17" s="59">
        <v>0.25</v>
      </c>
      <c r="H17" s="58">
        <v>0.25</v>
      </c>
      <c r="I17" s="64">
        <v>0.25</v>
      </c>
      <c r="J17" s="65">
        <v>0.25</v>
      </c>
      <c r="K17" s="58">
        <v>0.25</v>
      </c>
      <c r="L17" s="58">
        <v>0.25</v>
      </c>
      <c r="M17" s="58">
        <v>0.25</v>
      </c>
      <c r="N17" s="5" t="s">
        <v>813</v>
      </c>
      <c r="R17" s="8" t="s">
        <v>147</v>
      </c>
      <c r="S17" s="68">
        <v>1.2999999999999999E-3</v>
      </c>
    </row>
    <row r="18" spans="3:19" ht="14.25" customHeight="1" x14ac:dyDescent="0.25">
      <c r="C18" s="5" t="s">
        <v>814</v>
      </c>
      <c r="D18" s="58">
        <v>0.25</v>
      </c>
      <c r="E18" s="58">
        <v>0.25</v>
      </c>
      <c r="F18" s="58">
        <v>0.25</v>
      </c>
      <c r="G18" s="59">
        <v>0.25</v>
      </c>
      <c r="H18" s="58">
        <v>0.25</v>
      </c>
      <c r="I18" s="64">
        <v>0.25</v>
      </c>
      <c r="J18" s="65">
        <v>0.25</v>
      </c>
      <c r="K18" s="58">
        <v>0.25</v>
      </c>
      <c r="L18" s="58">
        <v>0.25</v>
      </c>
      <c r="M18" s="58">
        <v>0.25</v>
      </c>
      <c r="N18" s="5"/>
      <c r="R18" s="8" t="s">
        <v>815</v>
      </c>
      <c r="S18" s="68">
        <v>1E-3</v>
      </c>
    </row>
    <row r="19" spans="3:19" ht="14.25" customHeight="1" x14ac:dyDescent="0.25">
      <c r="C19" s="5" t="s">
        <v>816</v>
      </c>
      <c r="D19" s="58">
        <v>8</v>
      </c>
      <c r="E19" s="60">
        <v>12</v>
      </c>
      <c r="F19" s="60">
        <v>8</v>
      </c>
      <c r="G19" s="61">
        <v>3</v>
      </c>
      <c r="H19" s="60">
        <v>2</v>
      </c>
      <c r="I19" s="64">
        <v>746</v>
      </c>
      <c r="J19" s="66">
        <v>48</v>
      </c>
      <c r="K19" s="60">
        <v>160</v>
      </c>
      <c r="L19" s="60">
        <v>4</v>
      </c>
      <c r="M19" s="60">
        <v>44</v>
      </c>
      <c r="N19" s="5"/>
      <c r="R19" s="8" t="s">
        <v>817</v>
      </c>
      <c r="S19" s="68">
        <v>1E-3</v>
      </c>
    </row>
    <row r="20" spans="3:19" ht="14.25" customHeight="1" x14ac:dyDescent="0.25">
      <c r="C20" s="5" t="s">
        <v>818</v>
      </c>
      <c r="D20" s="58">
        <v>8</v>
      </c>
      <c r="E20" s="60">
        <v>12</v>
      </c>
      <c r="F20" s="60">
        <v>8</v>
      </c>
      <c r="G20" s="61">
        <v>3</v>
      </c>
      <c r="H20" s="60">
        <v>2</v>
      </c>
      <c r="I20" s="64">
        <v>746</v>
      </c>
      <c r="J20" s="66">
        <v>48</v>
      </c>
      <c r="K20" s="60">
        <v>160</v>
      </c>
      <c r="L20" s="60">
        <v>4</v>
      </c>
      <c r="M20" s="60">
        <v>44</v>
      </c>
      <c r="N20" s="5"/>
      <c r="R20" s="8" t="s">
        <v>819</v>
      </c>
      <c r="S20" s="68">
        <v>1E-3</v>
      </c>
    </row>
    <row r="21" spans="3:19" ht="14.25" customHeight="1" x14ac:dyDescent="0.25">
      <c r="C21" s="5" t="s">
        <v>231</v>
      </c>
      <c r="D21" s="58">
        <v>10</v>
      </c>
      <c r="E21" s="60">
        <v>20</v>
      </c>
      <c r="F21" s="60">
        <v>10</v>
      </c>
      <c r="G21" s="61">
        <v>10</v>
      </c>
      <c r="H21" s="60">
        <v>10</v>
      </c>
      <c r="I21" s="64">
        <v>1320</v>
      </c>
      <c r="J21" s="66">
        <v>80</v>
      </c>
      <c r="K21" s="60">
        <v>290</v>
      </c>
      <c r="L21" s="60">
        <v>10</v>
      </c>
      <c r="M21" s="60">
        <v>80</v>
      </c>
      <c r="N21" s="5"/>
      <c r="R21" s="5" t="s">
        <v>820</v>
      </c>
      <c r="S21" s="68">
        <v>0.02</v>
      </c>
    </row>
    <row r="22" spans="3:19" ht="14.25" customHeight="1" x14ac:dyDescent="0.25">
      <c r="C22" s="5" t="s">
        <v>232</v>
      </c>
      <c r="D22" s="58">
        <v>8</v>
      </c>
      <c r="E22" s="60">
        <v>13</v>
      </c>
      <c r="F22" s="60">
        <v>7</v>
      </c>
      <c r="G22" s="61">
        <v>4</v>
      </c>
      <c r="H22" s="60">
        <v>3</v>
      </c>
      <c r="I22" s="64">
        <v>770</v>
      </c>
      <c r="J22" s="66">
        <v>50</v>
      </c>
      <c r="K22" s="60">
        <v>170</v>
      </c>
      <c r="L22" s="60">
        <v>6</v>
      </c>
      <c r="M22" s="60">
        <v>46</v>
      </c>
      <c r="N22" s="5"/>
      <c r="R22" s="5" t="s">
        <v>799</v>
      </c>
      <c r="S22" s="53">
        <v>0.02</v>
      </c>
    </row>
    <row r="23" spans="3:19" ht="14.25" customHeight="1" x14ac:dyDescent="0.25">
      <c r="C23" s="5" t="s">
        <v>821</v>
      </c>
      <c r="D23" s="58">
        <v>8</v>
      </c>
      <c r="E23" s="60">
        <v>13</v>
      </c>
      <c r="F23" s="60">
        <v>7</v>
      </c>
      <c r="G23" s="61">
        <v>4</v>
      </c>
      <c r="H23" s="60">
        <v>3</v>
      </c>
      <c r="I23" s="64">
        <v>770</v>
      </c>
      <c r="J23" s="66">
        <v>50</v>
      </c>
      <c r="K23" s="60">
        <v>170</v>
      </c>
      <c r="L23" s="60">
        <v>6</v>
      </c>
      <c r="M23" s="60">
        <v>46</v>
      </c>
      <c r="N23" s="5"/>
    </row>
    <row r="24" spans="3:19" ht="14.25" customHeight="1" x14ac:dyDescent="0.25">
      <c r="C24" s="5" t="s">
        <v>822</v>
      </c>
      <c r="D24" s="58">
        <v>8</v>
      </c>
      <c r="E24" s="60">
        <v>13</v>
      </c>
      <c r="F24" s="60">
        <v>7</v>
      </c>
      <c r="G24" s="61">
        <v>4</v>
      </c>
      <c r="H24" s="60">
        <v>3</v>
      </c>
      <c r="I24" s="64">
        <v>770</v>
      </c>
      <c r="J24" s="66">
        <v>50</v>
      </c>
      <c r="K24" s="60">
        <v>170</v>
      </c>
      <c r="L24" s="60">
        <v>6</v>
      </c>
      <c r="M24" s="60">
        <v>46</v>
      </c>
      <c r="N24" s="5"/>
    </row>
    <row r="25" spans="3:19" ht="14.25" customHeight="1" x14ac:dyDescent="0.25">
      <c r="C25" s="5" t="s">
        <v>234</v>
      </c>
      <c r="D25" s="58">
        <v>8</v>
      </c>
      <c r="E25" s="60">
        <v>13</v>
      </c>
      <c r="F25" s="60">
        <v>7</v>
      </c>
      <c r="G25" s="61">
        <v>4</v>
      </c>
      <c r="H25" s="60">
        <v>3</v>
      </c>
      <c r="I25" s="64">
        <v>770</v>
      </c>
      <c r="J25" s="66">
        <v>50</v>
      </c>
      <c r="K25" s="60">
        <v>170</v>
      </c>
      <c r="L25" s="60">
        <v>6</v>
      </c>
      <c r="M25" s="60">
        <v>46</v>
      </c>
      <c r="N25" s="5"/>
    </row>
    <row r="26" spans="3:19" ht="14.25" customHeight="1" x14ac:dyDescent="0.25">
      <c r="C26" s="5" t="s">
        <v>823</v>
      </c>
      <c r="D26" s="58">
        <v>8</v>
      </c>
      <c r="E26" s="60">
        <v>13</v>
      </c>
      <c r="F26" s="60">
        <v>7</v>
      </c>
      <c r="G26" s="61">
        <v>4</v>
      </c>
      <c r="H26" s="60">
        <v>3</v>
      </c>
      <c r="I26" s="64">
        <v>770</v>
      </c>
      <c r="J26" s="66">
        <v>50</v>
      </c>
      <c r="K26" s="60">
        <v>170</v>
      </c>
      <c r="L26" s="60">
        <v>6</v>
      </c>
      <c r="M26" s="60">
        <v>46</v>
      </c>
      <c r="N26" s="5"/>
    </row>
    <row r="27" spans="3:19" ht="14.25" customHeight="1" x14ac:dyDescent="0.25">
      <c r="C27" s="5" t="s">
        <v>824</v>
      </c>
      <c r="D27" s="58">
        <v>8</v>
      </c>
      <c r="E27" s="60">
        <v>13</v>
      </c>
      <c r="F27" s="60">
        <v>7</v>
      </c>
      <c r="G27" s="61">
        <v>4</v>
      </c>
      <c r="H27" s="60">
        <v>3</v>
      </c>
      <c r="I27" s="64">
        <v>770</v>
      </c>
      <c r="J27" s="66">
        <v>50</v>
      </c>
      <c r="K27" s="60">
        <v>170</v>
      </c>
      <c r="L27" s="60">
        <v>6</v>
      </c>
      <c r="M27" s="60">
        <v>46</v>
      </c>
      <c r="N27" s="5"/>
    </row>
    <row r="28" spans="3:19" ht="14.25" customHeight="1" x14ac:dyDescent="0.25">
      <c r="C28" s="5" t="s">
        <v>236</v>
      </c>
      <c r="D28" s="58">
        <v>8</v>
      </c>
      <c r="E28" s="60">
        <v>13</v>
      </c>
      <c r="F28" s="60">
        <v>7</v>
      </c>
      <c r="G28" s="61">
        <v>4</v>
      </c>
      <c r="H28" s="60">
        <v>3</v>
      </c>
      <c r="I28" s="64">
        <v>770</v>
      </c>
      <c r="J28" s="66">
        <v>50</v>
      </c>
      <c r="K28" s="60">
        <v>170</v>
      </c>
      <c r="L28" s="60">
        <v>6</v>
      </c>
      <c r="M28" s="60">
        <v>46</v>
      </c>
      <c r="N28" s="5"/>
    </row>
    <row r="29" spans="3:19" ht="15.4" customHeight="1" x14ac:dyDescent="0.3">
      <c r="C29" s="5" t="s">
        <v>825</v>
      </c>
      <c r="D29" s="58">
        <v>8</v>
      </c>
      <c r="E29" s="60">
        <v>13</v>
      </c>
      <c r="F29" s="58">
        <v>7</v>
      </c>
      <c r="G29" s="61">
        <v>4</v>
      </c>
      <c r="H29" s="60">
        <v>3</v>
      </c>
      <c r="I29" s="64">
        <v>770</v>
      </c>
      <c r="J29" s="66">
        <v>50</v>
      </c>
      <c r="K29" s="60">
        <v>170</v>
      </c>
      <c r="L29" s="60">
        <v>6</v>
      </c>
      <c r="M29" s="60">
        <v>46</v>
      </c>
      <c r="N29" s="5"/>
    </row>
  </sheetData>
  <phoneticPr fontId="3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>
    <arrUserId title="区域2" rangeCreator="" othersAccessPermission="edit"/>
    <arrUserId title="区域4" rangeCreator="" othersAccessPermission="edit"/>
    <arrUserId title="区域3" rangeCreator="" othersAccessPermission="edit"/>
    <arrUserId title="区域1" rangeCreator="" othersAccessPermission="edit"/>
  </rangeList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  <rangeList sheetStid="10" master="" otherUserPermission="visible"/>
  <rangeList sheetStid="1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31</vt:i4>
      </vt:variant>
    </vt:vector>
  </HeadingPairs>
  <TitlesOfParts>
    <vt:vector size="42" baseType="lpstr">
      <vt:lpstr>空运部</vt:lpstr>
      <vt:lpstr>海运部</vt:lpstr>
      <vt:lpstr>进出口预算表</vt:lpstr>
      <vt:lpstr>运费</vt:lpstr>
      <vt:lpstr>商品相关信息</vt:lpstr>
      <vt:lpstr>十国汇率表</vt:lpstr>
      <vt:lpstr>十国市场表</vt:lpstr>
      <vt:lpstr>商品税率表</vt:lpstr>
      <vt:lpstr>费用相关信息</vt:lpstr>
      <vt:lpstr>十国工厂表</vt:lpstr>
      <vt:lpstr>保费</vt:lpstr>
      <vt:lpstr>十国市场表!_FilterDatabase</vt:lpstr>
      <vt:lpstr>澳大利亚</vt:lpstr>
      <vt:lpstr>澳大利亚汇率</vt:lpstr>
      <vt:lpstr>巴西</vt:lpstr>
      <vt:lpstr>巴西汇率</vt:lpstr>
      <vt:lpstr>德国</vt:lpstr>
      <vt:lpstr>德国汇率</vt:lpstr>
      <vt:lpstr>俄罗斯汇率</vt:lpstr>
      <vt:lpstr>各国商品</vt:lpstr>
      <vt:lpstr>古巴</vt:lpstr>
      <vt:lpstr>古巴汇率</vt:lpstr>
      <vt:lpstr>国家</vt:lpstr>
      <vt:lpstr>国家名字</vt:lpstr>
      <vt:lpstr>海运_航线代号对照表</vt:lpstr>
      <vt:lpstr>海运_航线名称</vt:lpstr>
      <vt:lpstr>海运_控制下移量</vt:lpstr>
      <vt:lpstr>海运_选择_航线名称代号</vt:lpstr>
      <vt:lpstr>基本险</vt:lpstr>
      <vt:lpstr>检验检疫费用</vt:lpstr>
      <vt:lpstr>结算方式</vt:lpstr>
      <vt:lpstr>空运_选择_航线名称代号</vt:lpstr>
      <vt:lpstr>美国汇率</vt:lpstr>
      <vt:lpstr>南非汇率</vt:lpstr>
      <vt:lpstr>日本汇率</vt:lpstr>
      <vt:lpstr>商品名称</vt:lpstr>
      <vt:lpstr>特殊附加险</vt:lpstr>
      <vt:lpstr>银行费率</vt:lpstr>
      <vt:lpstr>银行手续费</vt:lpstr>
      <vt:lpstr>英国汇率</vt:lpstr>
      <vt:lpstr>运输方式</vt:lpstr>
      <vt:lpstr>中国汇率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HUAWEI</cp:lastModifiedBy>
  <dcterms:created xsi:type="dcterms:W3CDTF">2006-09-16T00:00:00Z</dcterms:created>
  <dcterms:modified xsi:type="dcterms:W3CDTF">2025-04-10T14:50:15Z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567BDE42C2074CF387D0777E661140B6_12</vt:lpwstr>
  </property>
  <property fmtid="{D5CDD505-2E9C-101B-9397-08002B2CF9AE}" pid="3" name="KSOProductBuildVer">
    <vt:lpwstr>2052-12.1.0.20305</vt:lpwstr>
  </property>
  <property fmtid="{D5CDD505-2E9C-101B-9397-08002B2CF9AE}" pid="4" name="EM_Doc_Temp_ID">
    <vt:lpwstr>113f9e85</vt:lpwstr>
  </property>
</Properties>
</file>