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Work\wpoExcelToDBConveter\TestExel\Brötje\"/>
    </mc:Choice>
  </mc:AlternateContent>
  <xr:revisionPtr revIDLastSave="0" documentId="13_ncr:1_{B8D2F2F2-8F3E-45FE-848B-25EBE5DDB8AD}" xr6:coauthVersionLast="46" xr6:coauthVersionMax="47" xr10:uidLastSave="{00000000-0000-0000-0000-000000000000}"/>
  <bookViews>
    <workbookView xWindow="-120" yWindow="-120" windowWidth="29040" windowHeight="16440" tabRatio="893" firstSheet="1" activeTab="5" xr2:uid="{00000000-000D-0000-FFFF-FFFF00000000}"/>
  </bookViews>
  <sheets>
    <sheet name="README" sheetId="12" r:id="rId1"/>
    <sheet name="Heating seasonal" sheetId="1" r:id="rId2"/>
    <sheet name="Nominal values" sheetId="6" r:id="rId3"/>
    <sheet name="Product fiche heating" sheetId="4" r:id="rId4"/>
    <sheet name="Product fiche cooling" sheetId="5" r:id="rId5"/>
    <sheet name="Heating performance data" sheetId="8" r:id="rId6"/>
    <sheet name="Usage limits" sheetId="11" r:id="rId7"/>
    <sheet name="Capacity database" sheetId="9" r:id="rId8"/>
    <sheet name="Cooling performance data" sheetId="7" r:id="rId9"/>
    <sheet name="Hydraulics" sheetId="13" r:id="rId10"/>
    <sheet name="Defrost" sheetId="14" r:id="rId11"/>
    <sheet name="_PARAM" sheetId="10" r:id="rId12"/>
  </sheets>
  <definedNames>
    <definedName name="_xlnm._FilterDatabase" localSheetId="7" hidden="1">'Capacity database'!$H$544:$H$544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4" l="1"/>
  <c r="I5" i="14"/>
  <c r="G5" i="14"/>
  <c r="E5" i="14"/>
  <c r="C5" i="14"/>
  <c r="D4" i="14"/>
  <c r="C4" i="14" l="1"/>
  <c r="E4" i="14"/>
  <c r="U5" i="13"/>
  <c r="V5" i="13"/>
  <c r="W5" i="13"/>
  <c r="T5" i="13"/>
  <c r="U4" i="13"/>
  <c r="V4" i="13"/>
  <c r="W4" i="13"/>
  <c r="T4" i="13"/>
  <c r="M562" i="9" l="1"/>
  <c r="M563" i="9"/>
  <c r="M574" i="9"/>
  <c r="M565" i="9"/>
  <c r="M564" i="9"/>
  <c r="M567" i="9"/>
  <c r="M576" i="9"/>
  <c r="M569" i="9"/>
  <c r="M566" i="9"/>
  <c r="M571" i="9"/>
  <c r="M578" i="9"/>
  <c r="M573" i="9"/>
  <c r="M568" i="9"/>
  <c r="M575" i="9"/>
  <c r="M580" i="9"/>
  <c r="M577" i="9"/>
  <c r="M570" i="9"/>
  <c r="M579" i="9"/>
  <c r="M582" i="9"/>
  <c r="M581" i="9"/>
  <c r="M57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559" i="9"/>
  <c r="M555" i="9"/>
  <c r="M557" i="9"/>
  <c r="M551" i="9"/>
  <c r="M553" i="9"/>
  <c r="M543" i="9"/>
  <c r="M545" i="9"/>
  <c r="M461" i="9"/>
  <c r="M541" i="9"/>
  <c r="M558" i="9"/>
  <c r="M554" i="9"/>
  <c r="M556" i="9"/>
  <c r="M550" i="9"/>
  <c r="M552" i="9"/>
  <c r="M542" i="9"/>
  <c r="M544" i="9"/>
  <c r="M460" i="9"/>
  <c r="M540" i="9"/>
  <c r="F245" i="9"/>
  <c r="E20" i="7" l="1" a="1"/>
  <c r="E20" i="7" s="1"/>
  <c r="F20" i="7" a="1"/>
  <c r="F20" i="7" s="1"/>
  <c r="G20" i="7" a="1"/>
  <c r="G20" i="7" s="1"/>
  <c r="E15" i="7" a="1"/>
  <c r="E15" i="7" s="1"/>
  <c r="F15" i="7" a="1"/>
  <c r="F15" i="7" s="1"/>
  <c r="G15" i="7" a="1"/>
  <c r="G15" i="7" s="1"/>
  <c r="E12" i="7" a="1"/>
  <c r="E12" i="7" s="1"/>
  <c r="G12" i="7" a="1"/>
  <c r="G12" i="7" s="1"/>
  <c r="F12" i="7" a="1"/>
  <c r="F12" i="7" s="1"/>
  <c r="E27" i="7" a="1"/>
  <c r="E27" i="7" s="1"/>
  <c r="F27" i="7" a="1"/>
  <c r="F27" i="7" s="1"/>
  <c r="G27" i="7" a="1"/>
  <c r="G27" i="7" s="1"/>
  <c r="E24" i="7" a="1"/>
  <c r="E24" i="7" s="1"/>
  <c r="F24" i="7" a="1"/>
  <c r="F24" i="7" s="1"/>
  <c r="G24" i="7" a="1"/>
  <c r="G24" i="7" s="1"/>
  <c r="H24" i="7" a="1"/>
  <c r="H24" i="7" s="1"/>
  <c r="I24" i="7" a="1"/>
  <c r="I24" i="7" s="1"/>
  <c r="J24" i="7" a="1"/>
  <c r="J24" i="7" s="1"/>
  <c r="I14" i="7" a="1"/>
  <c r="I14" i="7" s="1"/>
  <c r="H14" i="7" a="1"/>
  <c r="H14" i="7" s="1"/>
  <c r="J14" i="7" a="1"/>
  <c r="J14" i="7" s="1"/>
  <c r="I11" i="7" a="1"/>
  <c r="I11" i="7" s="1"/>
  <c r="H11" i="7" a="1"/>
  <c r="H11" i="7" s="1"/>
  <c r="J11" i="7" a="1"/>
  <c r="J11" i="7" s="1"/>
  <c r="H26" i="7" a="1"/>
  <c r="H26" i="7" s="1"/>
  <c r="I26" i="7" a="1"/>
  <c r="I26" i="7" s="1"/>
  <c r="J26" i="7" a="1"/>
  <c r="J26" i="7" s="1"/>
  <c r="J23" i="7" a="1"/>
  <c r="J23" i="7" s="1"/>
  <c r="H23" i="7" a="1"/>
  <c r="H23" i="7" s="1"/>
  <c r="I23" i="7" a="1"/>
  <c r="I23" i="7" s="1"/>
  <c r="E11" i="7" a="1"/>
  <c r="E11" i="7" s="1"/>
  <c r="F11" i="7" a="1"/>
  <c r="F11" i="7" s="1"/>
  <c r="G11" i="7" a="1"/>
  <c r="G11" i="7" s="1"/>
  <c r="H20" i="7" a="1"/>
  <c r="H20" i="7" s="1"/>
  <c r="I20" i="7" a="1"/>
  <c r="I20" i="7" s="1"/>
  <c r="J20" i="7" a="1"/>
  <c r="J20" i="7" s="1"/>
  <c r="H27" i="7" a="1"/>
  <c r="H27" i="7" s="1"/>
  <c r="I27" i="7" a="1"/>
  <c r="I27" i="7" s="1"/>
  <c r="J27" i="7" a="1"/>
  <c r="J27" i="7" s="1"/>
  <c r="F16" i="7" a="1"/>
  <c r="F16" i="7" s="1"/>
  <c r="E16" i="7" a="1"/>
  <c r="E16" i="7" s="1"/>
  <c r="G16" i="7" a="1"/>
  <c r="G16" i="7" s="1"/>
  <c r="E26" i="7" a="1"/>
  <c r="E26" i="7" s="1"/>
  <c r="F26" i="7" a="1"/>
  <c r="F26" i="7" s="1"/>
  <c r="G26" i="7" a="1"/>
  <c r="G26" i="7" s="1"/>
  <c r="E23" i="7" a="1"/>
  <c r="E23" i="7" s="1"/>
  <c r="F23" i="7" a="1"/>
  <c r="F23" i="7" s="1"/>
  <c r="G23" i="7" a="1"/>
  <c r="G23" i="7" s="1"/>
  <c r="I15" i="7" a="1"/>
  <c r="I15" i="7" s="1"/>
  <c r="J15" i="7" a="1"/>
  <c r="J15" i="7" s="1"/>
  <c r="H15" i="7" a="1"/>
  <c r="H15" i="7" s="1"/>
  <c r="G14" i="7" a="1"/>
  <c r="G14" i="7" s="1"/>
  <c r="E14" i="7" a="1"/>
  <c r="E14" i="7" s="1"/>
  <c r="F14" i="7" a="1"/>
  <c r="F14" i="7" s="1"/>
  <c r="H17" i="7" a="1"/>
  <c r="H17" i="7" s="1"/>
  <c r="I17" i="7" a="1"/>
  <c r="I17" i="7" s="1"/>
  <c r="J17" i="7" a="1"/>
  <c r="J17" i="7" s="1"/>
  <c r="I13" i="7" a="1"/>
  <c r="I13" i="7" s="1"/>
  <c r="H13" i="7" a="1"/>
  <c r="H13" i="7" s="1"/>
  <c r="J13" i="7" a="1"/>
  <c r="J13" i="7" s="1"/>
  <c r="I10" i="7" a="1"/>
  <c r="I10" i="7" s="1"/>
  <c r="J10" i="7" a="1"/>
  <c r="J10" i="7" s="1"/>
  <c r="H10" i="7" a="1"/>
  <c r="H10" i="7" s="1"/>
  <c r="E17" i="7" a="1"/>
  <c r="E17" i="7" s="1"/>
  <c r="F17" i="7" a="1"/>
  <c r="F17" i="7" s="1"/>
  <c r="G17" i="7" a="1"/>
  <c r="G17" i="7" s="1"/>
  <c r="H25" i="7" a="1"/>
  <c r="H25" i="7" s="1"/>
  <c r="I25" i="7" a="1"/>
  <c r="I25" i="7" s="1"/>
  <c r="J25" i="7" a="1"/>
  <c r="J25" i="7" s="1"/>
  <c r="I19" i="7" a="1"/>
  <c r="I19" i="7" s="1"/>
  <c r="J19" i="7" a="1"/>
  <c r="J19" i="7" s="1"/>
  <c r="H19" i="7" a="1"/>
  <c r="H19" i="7" s="1"/>
  <c r="G13" i="7" a="1"/>
  <c r="G13" i="7" s="1"/>
  <c r="E13" i="7" a="1"/>
  <c r="E13" i="7" s="1"/>
  <c r="F13" i="7" a="1"/>
  <c r="F13" i="7" s="1"/>
  <c r="F10" i="7" a="1"/>
  <c r="F10" i="7" s="1"/>
  <c r="G10" i="7" a="1"/>
  <c r="G10" i="7" s="1"/>
  <c r="E10" i="7" a="1"/>
  <c r="E10" i="7" s="1"/>
  <c r="H12" i="7" a="1"/>
  <c r="H12" i="7" s="1"/>
  <c r="I12" i="7" a="1"/>
  <c r="I12" i="7" s="1"/>
  <c r="J12" i="7" a="1"/>
  <c r="J12" i="7" s="1"/>
  <c r="E21" i="7" a="1"/>
  <c r="E21" i="7" s="1"/>
  <c r="F21" i="7" a="1"/>
  <c r="F21" i="7" s="1"/>
  <c r="G21" i="7" a="1"/>
  <c r="G21" i="7" s="1"/>
  <c r="H16" i="7" a="1"/>
  <c r="H16" i="7" s="1"/>
  <c r="J16" i="7" a="1"/>
  <c r="J16" i="7" s="1"/>
  <c r="I16" i="7" a="1"/>
  <c r="I16" i="7" s="1"/>
  <c r="H22" i="7" a="1"/>
  <c r="H22" i="7" s="1"/>
  <c r="J22" i="7" a="1"/>
  <c r="J22" i="7" s="1"/>
  <c r="I22" i="7" a="1"/>
  <c r="I22" i="7" s="1"/>
  <c r="E19" i="7" a="1"/>
  <c r="E19" i="7" s="1"/>
  <c r="F19" i="7" a="1"/>
  <c r="F19" i="7" s="1"/>
  <c r="G19" i="7" a="1"/>
  <c r="G19" i="7" s="1"/>
  <c r="E25" i="7" a="1"/>
  <c r="E25" i="7" s="1"/>
  <c r="F25" i="7" a="1"/>
  <c r="F25" i="7" s="1"/>
  <c r="G25" i="7" a="1"/>
  <c r="G25" i="7" s="1"/>
  <c r="E22" i="7" a="1"/>
  <c r="E22" i="7" s="1"/>
  <c r="G22" i="7" a="1"/>
  <c r="G22" i="7" s="1"/>
  <c r="F22" i="7" a="1"/>
  <c r="F22" i="7" s="1"/>
  <c r="E37" i="7" a="1"/>
  <c r="E37" i="7" s="1"/>
  <c r="G37" i="7" a="1"/>
  <c r="G37" i="7" s="1"/>
  <c r="F37" i="7" a="1"/>
  <c r="F37" i="7" s="1"/>
  <c r="H38" i="7" a="1"/>
  <c r="H38" i="7" s="1"/>
  <c r="I38" i="7" a="1"/>
  <c r="I38" i="7" s="1"/>
  <c r="J38" i="7" a="1"/>
  <c r="J38" i="7" s="1"/>
  <c r="H32" i="7" a="1"/>
  <c r="H32" i="7" s="1"/>
  <c r="I32" i="7" a="1"/>
  <c r="I32" i="7" s="1"/>
  <c r="J32" i="7" a="1"/>
  <c r="J32" i="7" s="1"/>
  <c r="H30" i="7" a="1"/>
  <c r="H30" i="7" s="1"/>
  <c r="I30" i="7" a="1"/>
  <c r="I30" i="7" s="1"/>
  <c r="J30" i="7" a="1"/>
  <c r="J30" i="7" s="1"/>
  <c r="J28" i="7" a="1"/>
  <c r="J28" i="7" s="1"/>
  <c r="I28" i="7" a="1"/>
  <c r="I28" i="7" s="1"/>
  <c r="H28" i="7" a="1"/>
  <c r="H28" i="7" s="1"/>
  <c r="H42" i="7" a="1"/>
  <c r="H42" i="7" s="1"/>
  <c r="I42" i="7" a="1"/>
  <c r="I42" i="7" s="1"/>
  <c r="J42" i="7" a="1"/>
  <c r="J42" i="7" s="1"/>
  <c r="G38" i="7" a="1"/>
  <c r="G38" i="7" s="1"/>
  <c r="E38" i="7" a="1"/>
  <c r="E38" i="7" s="1"/>
  <c r="F38" i="7" a="1"/>
  <c r="F38" i="7" s="1"/>
  <c r="E44" i="7" a="1"/>
  <c r="E44" i="7" s="1"/>
  <c r="F44" i="7" a="1"/>
  <c r="F44" i="7" s="1"/>
  <c r="G44" i="7" a="1"/>
  <c r="G44" i="7" s="1"/>
  <c r="F42" i="7" a="1"/>
  <c r="F42" i="7" s="1"/>
  <c r="G42" i="7" a="1"/>
  <c r="G42" i="7" s="1"/>
  <c r="E42" i="7" a="1"/>
  <c r="E42" i="7" s="1"/>
  <c r="G40" i="7" a="1"/>
  <c r="G40" i="7" s="1"/>
  <c r="F40" i="7" a="1"/>
  <c r="F40" i="7" s="1"/>
  <c r="E40" i="7" a="1"/>
  <c r="E40" i="7" s="1"/>
  <c r="J34" i="7" a="1"/>
  <c r="J34" i="7" s="1"/>
  <c r="I34" i="7" a="1"/>
  <c r="I34" i="7" s="1"/>
  <c r="H34" i="7" a="1"/>
  <c r="H34" i="7" s="1"/>
  <c r="E39" i="7" a="1"/>
  <c r="E39" i="7" s="1"/>
  <c r="F39" i="7" a="1"/>
  <c r="F39" i="7" s="1"/>
  <c r="G39" i="7" a="1"/>
  <c r="G39" i="7" s="1"/>
  <c r="F32" i="7" a="1"/>
  <c r="F32" i="7" s="1"/>
  <c r="G32" i="7" a="1"/>
  <c r="G32" i="7" s="1"/>
  <c r="E32" i="7" a="1"/>
  <c r="E32" i="7" s="1"/>
  <c r="G30" i="7" a="1"/>
  <c r="G30" i="7" s="1"/>
  <c r="E30" i="7" a="1"/>
  <c r="E30" i="7" s="1"/>
  <c r="F30" i="7" a="1"/>
  <c r="F30" i="7" s="1"/>
  <c r="F28" i="7" a="1"/>
  <c r="F28" i="7" s="1"/>
  <c r="E28" i="7" a="1"/>
  <c r="E28" i="7" s="1"/>
  <c r="G28" i="7" a="1"/>
  <c r="G28" i="7" s="1"/>
  <c r="G34" i="7" a="1"/>
  <c r="G34" i="7" s="1"/>
  <c r="F34" i="7" a="1"/>
  <c r="F34" i="7" s="1"/>
  <c r="E34" i="7" a="1"/>
  <c r="E34" i="7" s="1"/>
  <c r="H45" i="7" a="1"/>
  <c r="H45" i="7" s="1"/>
  <c r="I45" i="7" a="1"/>
  <c r="I45" i="7" s="1"/>
  <c r="J45" i="7" a="1"/>
  <c r="J45" i="7" s="1"/>
  <c r="H43" i="7" a="1"/>
  <c r="H43" i="7" s="1"/>
  <c r="I43" i="7" a="1"/>
  <c r="I43" i="7" s="1"/>
  <c r="J43" i="7" a="1"/>
  <c r="J43" i="7" s="1"/>
  <c r="H41" i="7" a="1"/>
  <c r="H41" i="7" s="1"/>
  <c r="I41" i="7" a="1"/>
  <c r="I41" i="7" s="1"/>
  <c r="J41" i="7" a="1"/>
  <c r="J41" i="7" s="1"/>
  <c r="J40" i="7" a="1"/>
  <c r="J40" i="7" s="1"/>
  <c r="I40" i="7" a="1"/>
  <c r="I40" i="7" s="1"/>
  <c r="H40" i="7" a="1"/>
  <c r="H40" i="7" s="1"/>
  <c r="H35" i="7" a="1"/>
  <c r="H35" i="7" s="1"/>
  <c r="I35" i="7" a="1"/>
  <c r="I35" i="7" s="1"/>
  <c r="J35" i="7" a="1"/>
  <c r="J35" i="7" s="1"/>
  <c r="J33" i="7" a="1"/>
  <c r="J33" i="7" s="1"/>
  <c r="H33" i="7" a="1"/>
  <c r="H33" i="7" s="1"/>
  <c r="I33" i="7" a="1"/>
  <c r="I33" i="7" s="1"/>
  <c r="J31" i="7" a="1"/>
  <c r="J31" i="7" s="1"/>
  <c r="I31" i="7" a="1"/>
  <c r="I31" i="7" s="1"/>
  <c r="H31" i="7" a="1"/>
  <c r="H31" i="7" s="1"/>
  <c r="I29" i="7" a="1"/>
  <c r="I29" i="7" s="1"/>
  <c r="J29" i="7" a="1"/>
  <c r="J29" i="7" s="1"/>
  <c r="H29" i="7" a="1"/>
  <c r="H29" i="7" s="1"/>
  <c r="G35" i="7" a="1"/>
  <c r="G35" i="7" s="1"/>
  <c r="F35" i="7" a="1"/>
  <c r="F35" i="7" s="1"/>
  <c r="E35" i="7" a="1"/>
  <c r="E35" i="7" s="1"/>
  <c r="E45" i="7" a="1"/>
  <c r="E45" i="7" s="1"/>
  <c r="F45" i="7" a="1"/>
  <c r="F45" i="7" s="1"/>
  <c r="G45" i="7" a="1"/>
  <c r="G45" i="7" s="1"/>
  <c r="G43" i="7" a="1"/>
  <c r="G43" i="7" s="1"/>
  <c r="E43" i="7" a="1"/>
  <c r="E43" i="7" s="1"/>
  <c r="F43" i="7" a="1"/>
  <c r="F43" i="7" s="1"/>
  <c r="E41" i="7" a="1"/>
  <c r="E41" i="7" s="1"/>
  <c r="F41" i="7" a="1"/>
  <c r="F41" i="7" s="1"/>
  <c r="G41" i="7" a="1"/>
  <c r="G41" i="7" s="1"/>
  <c r="I44" i="7" a="1"/>
  <c r="I44" i="7" s="1"/>
  <c r="J44" i="7" a="1"/>
  <c r="J44" i="7" s="1"/>
  <c r="H44" i="7" a="1"/>
  <c r="H44" i="7" s="1"/>
  <c r="H37" i="7" a="1"/>
  <c r="H37" i="7" s="1"/>
  <c r="I37" i="7" a="1"/>
  <c r="I37" i="7" s="1"/>
  <c r="J37" i="7" a="1"/>
  <c r="J37" i="7" s="1"/>
  <c r="E33" i="7" a="1"/>
  <c r="E33" i="7" s="1"/>
  <c r="F33" i="7" a="1"/>
  <c r="F33" i="7" s="1"/>
  <c r="G33" i="7" a="1"/>
  <c r="G33" i="7" s="1"/>
  <c r="F31" i="7" a="1"/>
  <c r="F31" i="7" s="1"/>
  <c r="G31" i="7" a="1"/>
  <c r="G31" i="7" s="1"/>
  <c r="E31" i="7" a="1"/>
  <c r="E31" i="7" s="1"/>
  <c r="E29" i="7" a="1"/>
  <c r="E29" i="7" s="1"/>
  <c r="F29" i="7" a="1"/>
  <c r="F29" i="7" s="1"/>
  <c r="G29" i="7" a="1"/>
  <c r="G29" i="7" s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3" i="13"/>
  <c r="M560" i="9"/>
  <c r="M561" i="9"/>
  <c r="J9" i="6" a="1"/>
  <c r="J9" i="6" s="1"/>
  <c r="J10" i="6" a="1"/>
  <c r="J10" i="6" s="1"/>
  <c r="H9" i="6" a="1"/>
  <c r="H9" i="6" s="1"/>
  <c r="H10" i="6" a="1"/>
  <c r="H10" i="6" s="1"/>
  <c r="J5" i="6" a="1"/>
  <c r="J5" i="6" s="1"/>
  <c r="J6" i="6" a="1"/>
  <c r="J6" i="6" s="1"/>
  <c r="E5" i="6" a="1"/>
  <c r="E5" i="6" s="1"/>
  <c r="F5" i="6" a="1"/>
  <c r="F5" i="6" s="1"/>
  <c r="G5" i="6" a="1"/>
  <c r="G5" i="6" s="1"/>
  <c r="H5" i="6" a="1"/>
  <c r="H5" i="6" s="1"/>
  <c r="E6" i="6" a="1"/>
  <c r="E6" i="6" s="1"/>
  <c r="F6" i="6" a="1"/>
  <c r="F6" i="6" s="1"/>
  <c r="G6" i="6" a="1"/>
  <c r="G6" i="6" s="1"/>
  <c r="H6" i="6" a="1"/>
  <c r="H6" i="6" s="1"/>
  <c r="M382" i="9"/>
  <c r="E12" i="6" s="1" a="1"/>
  <c r="E12" i="6" s="1"/>
  <c r="M383" i="9"/>
  <c r="M398" i="9"/>
  <c r="M401" i="9"/>
  <c r="H44" i="6" s="1" a="1"/>
  <c r="H44" i="6" s="1"/>
  <c r="M246" i="9"/>
  <c r="M223" i="9"/>
  <c r="M233" i="9"/>
  <c r="M232" i="9"/>
  <c r="M222" i="9"/>
  <c r="M395" i="9"/>
  <c r="H43" i="6" s="1" a="1"/>
  <c r="H43" i="6" s="1"/>
  <c r="M381" i="9"/>
  <c r="M245" i="9"/>
  <c r="M394" i="9"/>
  <c r="M3" i="9"/>
  <c r="M5" i="9"/>
  <c r="M11" i="9"/>
  <c r="M47" i="9"/>
  <c r="M73" i="9"/>
  <c r="M102" i="9"/>
  <c r="M264" i="9"/>
  <c r="M266" i="9"/>
  <c r="M271" i="9"/>
  <c r="M276" i="9"/>
  <c r="M278" i="9"/>
  <c r="M280" i="9"/>
  <c r="M285" i="9"/>
  <c r="M287" i="9"/>
  <c r="M289" i="9"/>
  <c r="M300" i="9"/>
  <c r="M302" i="9"/>
  <c r="M304" i="9"/>
  <c r="M318" i="9"/>
  <c r="M320" i="9"/>
  <c r="M396" i="9"/>
  <c r="M17" i="9"/>
  <c r="M128" i="9"/>
  <c r="M273" i="9"/>
  <c r="M282" i="9"/>
  <c r="M291" i="9"/>
  <c r="M297" i="9"/>
  <c r="M306" i="9"/>
  <c r="M444" i="9"/>
  <c r="M7" i="9"/>
  <c r="M22" i="9"/>
  <c r="M34" i="9"/>
  <c r="M59" i="9"/>
  <c r="M76" i="9"/>
  <c r="M105" i="9"/>
  <c r="M132" i="9"/>
  <c r="M134" i="9"/>
  <c r="M136" i="9"/>
  <c r="M141" i="9"/>
  <c r="M143" i="9"/>
  <c r="M145" i="9"/>
  <c r="M150" i="9"/>
  <c r="M152" i="9"/>
  <c r="M155" i="9"/>
  <c r="M167" i="9"/>
  <c r="M169" i="9"/>
  <c r="M171" i="9"/>
  <c r="M185" i="9"/>
  <c r="M267" i="9"/>
  <c r="M387" i="9"/>
  <c r="M40" i="9"/>
  <c r="M202" i="9"/>
  <c r="G23" i="6" s="1" a="1"/>
  <c r="G23" i="6" s="1"/>
  <c r="M129" i="9"/>
  <c r="M138" i="9"/>
  <c r="M147" i="9"/>
  <c r="AB14" i="8" s="1" a="1"/>
  <c r="AB14" i="8" s="1"/>
  <c r="M157" i="9"/>
  <c r="M163" i="9"/>
  <c r="M173" i="9"/>
  <c r="M206" i="9"/>
  <c r="M468" i="9"/>
  <c r="M87" i="9"/>
  <c r="M89" i="9"/>
  <c r="M108" i="9"/>
  <c r="M322" i="9"/>
  <c r="M324" i="9"/>
  <c r="M326" i="9"/>
  <c r="M331" i="9"/>
  <c r="M333" i="9"/>
  <c r="M335" i="9"/>
  <c r="M340" i="9"/>
  <c r="M342" i="9"/>
  <c r="M344" i="9"/>
  <c r="M356" i="9"/>
  <c r="M360" i="9"/>
  <c r="M362" i="9"/>
  <c r="M376" i="9"/>
  <c r="M378" i="9"/>
  <c r="M399" i="9"/>
  <c r="M12" i="9"/>
  <c r="M45" i="9"/>
  <c r="M62" i="9"/>
  <c r="M65" i="9"/>
  <c r="M166" i="9"/>
  <c r="M328" i="9"/>
  <c r="M337" i="9"/>
  <c r="M346" i="9"/>
  <c r="M353" i="9"/>
  <c r="M364" i="9"/>
  <c r="M470" i="9"/>
  <c r="M15" i="9"/>
  <c r="M64" i="9"/>
  <c r="M70" i="9"/>
  <c r="M115" i="9"/>
  <c r="M117" i="9"/>
  <c r="M119" i="9"/>
  <c r="M358" i="9"/>
  <c r="M433" i="9"/>
  <c r="M467" i="9"/>
  <c r="M476" i="9"/>
  <c r="M478" i="9"/>
  <c r="M480" i="9"/>
  <c r="M485" i="9"/>
  <c r="M487" i="9"/>
  <c r="M489" i="9"/>
  <c r="M500" i="9"/>
  <c r="M502" i="9"/>
  <c r="M504" i="9"/>
  <c r="M518" i="9"/>
  <c r="M520" i="9"/>
  <c r="M522" i="9"/>
  <c r="M91" i="9"/>
  <c r="AB55" i="8" s="1" a="1"/>
  <c r="AB55" i="8" s="1"/>
  <c r="M189" i="9"/>
  <c r="M473" i="9"/>
  <c r="M482" i="9"/>
  <c r="M491" i="9"/>
  <c r="M497" i="9"/>
  <c r="M506" i="9"/>
  <c r="M530" i="9"/>
  <c r="M210" i="9"/>
  <c r="M214" i="9"/>
  <c r="M215" i="9"/>
  <c r="M207" i="9"/>
  <c r="M211" i="9"/>
  <c r="M226" i="9"/>
  <c r="M236" i="9"/>
  <c r="M230" i="9"/>
  <c r="M227" i="9"/>
  <c r="N49" i="8" s="1" a="1"/>
  <c r="N49" i="8" s="1"/>
  <c r="M56" i="9"/>
  <c r="AB11" i="8" s="1" a="1"/>
  <c r="AB11" i="8" s="1"/>
  <c r="M182" i="9"/>
  <c r="M6" i="9"/>
  <c r="M46" i="9"/>
  <c r="G11" i="8" s="1" a="1"/>
  <c r="G11" i="8" s="1"/>
  <c r="M58" i="9"/>
  <c r="M131" i="9"/>
  <c r="M140" i="9"/>
  <c r="M149" i="9"/>
  <c r="G15" i="8" s="1" a="1"/>
  <c r="G15" i="8" s="1"/>
  <c r="M159" i="9"/>
  <c r="M165" i="9"/>
  <c r="M175" i="9"/>
  <c r="M184" i="9"/>
  <c r="M49" i="9"/>
  <c r="M176" i="9"/>
  <c r="M21" i="9"/>
  <c r="M50" i="9"/>
  <c r="M61" i="9"/>
  <c r="K12" i="8" s="1" a="1"/>
  <c r="K12" i="8" s="1"/>
  <c r="M133" i="9"/>
  <c r="M142" i="9"/>
  <c r="M151" i="9"/>
  <c r="M160" i="9"/>
  <c r="M168" i="9"/>
  <c r="M177" i="9"/>
  <c r="M186" i="9"/>
  <c r="M51" i="9"/>
  <c r="M178" i="9"/>
  <c r="M31" i="9"/>
  <c r="M52" i="9"/>
  <c r="R11" i="8" s="1" a="1"/>
  <c r="R11" i="8" s="1"/>
  <c r="M78" i="9"/>
  <c r="M135" i="9"/>
  <c r="Q13" i="8" s="1" a="1"/>
  <c r="Q13" i="8" s="1"/>
  <c r="M144" i="9"/>
  <c r="M154" i="9"/>
  <c r="Q15" i="8" s="1" a="1"/>
  <c r="Q15" i="8" s="1"/>
  <c r="M161" i="9"/>
  <c r="M170" i="9"/>
  <c r="M179" i="9"/>
  <c r="M268" i="9"/>
  <c r="M54" i="9"/>
  <c r="M180" i="9"/>
  <c r="M37" i="9"/>
  <c r="M55" i="9"/>
  <c r="M107" i="9"/>
  <c r="W12" i="8" s="1" a="1"/>
  <c r="W12" i="8" s="1"/>
  <c r="M137" i="9"/>
  <c r="M146" i="9"/>
  <c r="M156" i="9"/>
  <c r="M162" i="9"/>
  <c r="M172" i="9"/>
  <c r="M181" i="9"/>
  <c r="M390" i="9"/>
  <c r="M43" i="9"/>
  <c r="AE10" i="8" s="1" a="1"/>
  <c r="AE10" i="8" s="1"/>
  <c r="M57" i="9"/>
  <c r="AE11" i="8" s="1" a="1"/>
  <c r="AE11" i="8" s="1"/>
  <c r="M130" i="9"/>
  <c r="M139" i="9"/>
  <c r="M148" i="9"/>
  <c r="M158" i="9"/>
  <c r="M164" i="9"/>
  <c r="M174" i="9"/>
  <c r="M183" i="9"/>
  <c r="M469" i="9"/>
  <c r="M18" i="9"/>
  <c r="M41" i="9"/>
  <c r="M69" i="9"/>
  <c r="M220" i="9"/>
  <c r="M231" i="9"/>
  <c r="M242" i="9"/>
  <c r="J23" i="8" s="1" a="1"/>
  <c r="J23" i="8" s="1"/>
  <c r="M263" i="9"/>
  <c r="M237" i="9"/>
  <c r="M422" i="9"/>
  <c r="M426" i="9"/>
  <c r="M430" i="9"/>
  <c r="T25" i="8" s="1" a="1"/>
  <c r="T25" i="8" s="1"/>
  <c r="M464" i="9"/>
  <c r="M526" i="9"/>
  <c r="M532" i="9"/>
  <c r="V27" i="8" s="1" a="1"/>
  <c r="V27" i="8" s="1"/>
  <c r="M95" i="9"/>
  <c r="M196" i="9"/>
  <c r="M249" i="9"/>
  <c r="M416" i="9"/>
  <c r="M436" i="9"/>
  <c r="Z25" i="8" s="1" a="1"/>
  <c r="Z25" i="8" s="1"/>
  <c r="M456" i="9"/>
  <c r="M536" i="9"/>
  <c r="M9" i="9"/>
  <c r="G19" i="8" s="1" a="1"/>
  <c r="G19" i="8" s="1"/>
  <c r="M101" i="9"/>
  <c r="M200" i="9"/>
  <c r="M218" i="9"/>
  <c r="M240" i="9"/>
  <c r="M261" i="9"/>
  <c r="G24" i="8" s="1" a="1"/>
  <c r="G24" i="8" s="1"/>
  <c r="M408" i="9"/>
  <c r="M420" i="9"/>
  <c r="M440" i="9"/>
  <c r="F26" i="8" s="1" a="1"/>
  <c r="F26" i="8" s="1"/>
  <c r="M462" i="9"/>
  <c r="M122" i="9"/>
  <c r="M442" i="9"/>
  <c r="M32" i="9"/>
  <c r="M124" i="9"/>
  <c r="K20" i="8" s="1" a="1"/>
  <c r="K20" i="8" s="1"/>
  <c r="M204" i="9"/>
  <c r="M224" i="9"/>
  <c r="M247" i="9"/>
  <c r="K23" i="8" s="1" a="1"/>
  <c r="K23" i="8" s="1"/>
  <c r="M384" i="9"/>
  <c r="M410" i="9"/>
  <c r="M424" i="9"/>
  <c r="M446" i="9"/>
  <c r="M524" i="9"/>
  <c r="M126" i="9"/>
  <c r="M448" i="9"/>
  <c r="M53" i="9"/>
  <c r="S19" i="8" s="1" a="1"/>
  <c r="S19" i="8" s="1"/>
  <c r="M187" i="9"/>
  <c r="M208" i="9"/>
  <c r="M228" i="9"/>
  <c r="M251" i="9"/>
  <c r="M389" i="9"/>
  <c r="Q24" i="8" s="1" a="1"/>
  <c r="Q24" i="8" s="1"/>
  <c r="M412" i="9"/>
  <c r="M428" i="9"/>
  <c r="M450" i="9"/>
  <c r="Q26" i="8" s="1" a="1"/>
  <c r="Q26" i="8" s="1"/>
  <c r="M528" i="9"/>
  <c r="M192" i="9"/>
  <c r="M452" i="9"/>
  <c r="M72" i="9"/>
  <c r="M194" i="9"/>
  <c r="M212" i="9"/>
  <c r="M234" i="9"/>
  <c r="M255" i="9"/>
  <c r="W23" i="8" s="1" a="1"/>
  <c r="W23" i="8" s="1"/>
  <c r="M402" i="9"/>
  <c r="M414" i="9"/>
  <c r="M434" i="9"/>
  <c r="M454" i="9"/>
  <c r="M534" i="9"/>
  <c r="W27" i="8" s="1" a="1"/>
  <c r="W27" i="8" s="1"/>
  <c r="M98" i="9"/>
  <c r="M198" i="9"/>
  <c r="M216" i="9"/>
  <c r="M238" i="9"/>
  <c r="M259" i="9"/>
  <c r="M406" i="9"/>
  <c r="M418" i="9"/>
  <c r="M438" i="9"/>
  <c r="M458" i="9"/>
  <c r="M538" i="9"/>
  <c r="M24" i="9"/>
  <c r="M309" i="9"/>
  <c r="M26" i="9"/>
  <c r="M311" i="9"/>
  <c r="M28" i="9"/>
  <c r="M313" i="9"/>
  <c r="M30" i="9"/>
  <c r="M315" i="9"/>
  <c r="M2" i="9"/>
  <c r="F28" i="8" s="1" a="1"/>
  <c r="F28" i="8" s="1"/>
  <c r="M23" i="9"/>
  <c r="M36" i="9"/>
  <c r="E30" i="8" s="1" a="1"/>
  <c r="E30" i="8" s="1"/>
  <c r="M243" i="9"/>
  <c r="M275" i="9"/>
  <c r="M284" i="9"/>
  <c r="M293" i="9"/>
  <c r="M299" i="9"/>
  <c r="M308" i="9"/>
  <c r="M317" i="9"/>
  <c r="M4" i="9"/>
  <c r="M25" i="9"/>
  <c r="M48" i="9"/>
  <c r="M265" i="9"/>
  <c r="M277" i="9"/>
  <c r="M286" i="9"/>
  <c r="M294" i="9"/>
  <c r="M301" i="9"/>
  <c r="M310" i="9"/>
  <c r="M319" i="9"/>
  <c r="M8" i="9"/>
  <c r="M27" i="9"/>
  <c r="M75" i="9"/>
  <c r="M270" i="9"/>
  <c r="M279" i="9"/>
  <c r="R32" i="8" s="1" a="1"/>
  <c r="R32" i="8" s="1"/>
  <c r="M288" i="9"/>
  <c r="M295" i="9"/>
  <c r="M303" i="9"/>
  <c r="M312" i="9"/>
  <c r="M321" i="9"/>
  <c r="M14" i="9"/>
  <c r="M29" i="9"/>
  <c r="M104" i="9"/>
  <c r="X30" i="8" s="1" a="1"/>
  <c r="X30" i="8" s="1"/>
  <c r="M272" i="9"/>
  <c r="M281" i="9"/>
  <c r="M290" i="9"/>
  <c r="M296" i="9"/>
  <c r="M305" i="9"/>
  <c r="M314" i="9"/>
  <c r="M397" i="9"/>
  <c r="M20" i="9"/>
  <c r="M35" i="9"/>
  <c r="M153" i="9"/>
  <c r="M274" i="9"/>
  <c r="M283" i="9"/>
  <c r="M292" i="9"/>
  <c r="M298" i="9"/>
  <c r="M307" i="9"/>
  <c r="M316" i="9"/>
  <c r="M445" i="9"/>
  <c r="M84" i="9"/>
  <c r="Z38" i="8" s="1" a="1"/>
  <c r="Z38" i="8" s="1"/>
  <c r="M373" i="9"/>
  <c r="M10" i="9"/>
  <c r="M71" i="9"/>
  <c r="M86" i="9"/>
  <c r="M269" i="9"/>
  <c r="M330" i="9"/>
  <c r="E41" i="8" s="1" a="1"/>
  <c r="E41" i="8" s="1"/>
  <c r="M339" i="9"/>
  <c r="M349" i="9"/>
  <c r="M355" i="9"/>
  <c r="M366" i="9"/>
  <c r="M375" i="9"/>
  <c r="M74" i="9"/>
  <c r="M367" i="9"/>
  <c r="M38" i="9"/>
  <c r="M77" i="9"/>
  <c r="M88" i="9"/>
  <c r="M323" i="9"/>
  <c r="M332" i="9"/>
  <c r="M341" i="9"/>
  <c r="M350" i="9"/>
  <c r="M357" i="9"/>
  <c r="M368" i="9"/>
  <c r="L44" i="8" s="1" a="1"/>
  <c r="L44" i="8" s="1"/>
  <c r="M377" i="9"/>
  <c r="M79" i="9"/>
  <c r="N38" i="8" s="1" a="1"/>
  <c r="N38" i="8" s="1"/>
  <c r="M369" i="9"/>
  <c r="M60" i="9"/>
  <c r="M80" i="9"/>
  <c r="M90" i="9"/>
  <c r="M325" i="9"/>
  <c r="M334" i="9"/>
  <c r="Q41" i="8" s="1" a="1"/>
  <c r="Q41" i="8" s="1"/>
  <c r="M343" i="9"/>
  <c r="M351" i="9"/>
  <c r="M361" i="9"/>
  <c r="M370" i="9"/>
  <c r="M379" i="9"/>
  <c r="M81" i="9"/>
  <c r="M371" i="9"/>
  <c r="M63" i="9"/>
  <c r="X37" i="8" s="1" a="1"/>
  <c r="X37" i="8" s="1"/>
  <c r="M83" i="9"/>
  <c r="M110" i="9"/>
  <c r="M327" i="9"/>
  <c r="M336" i="9"/>
  <c r="M345" i="9"/>
  <c r="M352" i="9"/>
  <c r="M363" i="9"/>
  <c r="M372" i="9"/>
  <c r="X44" i="8" s="1" a="1"/>
  <c r="X44" i="8" s="1"/>
  <c r="M431" i="9"/>
  <c r="M68" i="9"/>
  <c r="M85" i="9"/>
  <c r="M188" i="9"/>
  <c r="M329" i="9"/>
  <c r="M338" i="9"/>
  <c r="M348" i="9"/>
  <c r="M354" i="9"/>
  <c r="M365" i="9"/>
  <c r="M374" i="9"/>
  <c r="M471" i="9"/>
  <c r="M19" i="9"/>
  <c r="M39" i="9"/>
  <c r="M67" i="9"/>
  <c r="M203" i="9"/>
  <c r="G24" i="6" s="1" a="1"/>
  <c r="G24" i="6" s="1"/>
  <c r="M253" i="9"/>
  <c r="M257" i="9"/>
  <c r="M221" i="9"/>
  <c r="M386" i="9"/>
  <c r="M404" i="9"/>
  <c r="M244" i="9"/>
  <c r="M250" i="9"/>
  <c r="M254" i="9"/>
  <c r="M359" i="9"/>
  <c r="M258" i="9"/>
  <c r="M392" i="9"/>
  <c r="M421" i="9"/>
  <c r="M425" i="9"/>
  <c r="M429" i="9"/>
  <c r="T52" i="8" s="1" a="1"/>
  <c r="T52" i="8" s="1"/>
  <c r="M465" i="9"/>
  <c r="M527" i="9"/>
  <c r="M533" i="9"/>
  <c r="U54" i="8" s="1" a="1"/>
  <c r="U54" i="8" s="1"/>
  <c r="M96" i="9"/>
  <c r="M197" i="9"/>
  <c r="M388" i="9"/>
  <c r="M393" i="9"/>
  <c r="M403" i="9"/>
  <c r="M415" i="9"/>
  <c r="M437" i="9"/>
  <c r="M457" i="9"/>
  <c r="AA53" i="8" s="1" a="1"/>
  <c r="AA53" i="8" s="1"/>
  <c r="M537" i="9"/>
  <c r="M16" i="9"/>
  <c r="M121" i="9"/>
  <c r="M201" i="9"/>
  <c r="M219" i="9"/>
  <c r="M241" i="9"/>
  <c r="M262" i="9"/>
  <c r="M407" i="9"/>
  <c r="M419" i="9"/>
  <c r="M441" i="9"/>
  <c r="G53" i="8" s="1" a="1"/>
  <c r="G53" i="8" s="1"/>
  <c r="M463" i="9"/>
  <c r="M123" i="9"/>
  <c r="M443" i="9"/>
  <c r="M33" i="9"/>
  <c r="M125" i="9"/>
  <c r="M205" i="9"/>
  <c r="K48" i="8" s="1" a="1"/>
  <c r="K48" i="8" s="1"/>
  <c r="M225" i="9"/>
  <c r="M248" i="9"/>
  <c r="M385" i="9"/>
  <c r="M409" i="9"/>
  <c r="M423" i="9"/>
  <c r="M447" i="9"/>
  <c r="M525" i="9"/>
  <c r="M127" i="9"/>
  <c r="N47" i="8" s="1" a="1"/>
  <c r="N47" i="8" s="1"/>
  <c r="M449" i="9"/>
  <c r="M42" i="9"/>
  <c r="M190" i="9"/>
  <c r="M209" i="9"/>
  <c r="M229" i="9"/>
  <c r="M252" i="9"/>
  <c r="M391" i="9"/>
  <c r="M411" i="9"/>
  <c r="M427" i="9"/>
  <c r="M451" i="9"/>
  <c r="M529" i="9"/>
  <c r="M193" i="9"/>
  <c r="M453" i="9"/>
  <c r="M93" i="9"/>
  <c r="M195" i="9"/>
  <c r="M213" i="9"/>
  <c r="W48" i="8" s="1" a="1"/>
  <c r="W48" i="8" s="1"/>
  <c r="M235" i="9"/>
  <c r="M256" i="9"/>
  <c r="M400" i="9"/>
  <c r="M413" i="9"/>
  <c r="M435" i="9"/>
  <c r="M455" i="9"/>
  <c r="W53" i="8" s="1" a="1"/>
  <c r="W53" i="8" s="1"/>
  <c r="M535" i="9"/>
  <c r="M99" i="9"/>
  <c r="M199" i="9"/>
  <c r="M217" i="9"/>
  <c r="M239" i="9"/>
  <c r="M260" i="9"/>
  <c r="M405" i="9"/>
  <c r="M417" i="9"/>
  <c r="M439" i="9"/>
  <c r="M459" i="9"/>
  <c r="M539" i="9"/>
  <c r="M97" i="9"/>
  <c r="H56" i="8" s="1" a="1"/>
  <c r="H56" i="8" s="1"/>
  <c r="M509" i="9"/>
  <c r="M103" i="9"/>
  <c r="M511" i="9"/>
  <c r="M109" i="9"/>
  <c r="M513" i="9"/>
  <c r="M112" i="9"/>
  <c r="Z56" i="8" s="1" a="1"/>
  <c r="Z56" i="8" s="1"/>
  <c r="M515" i="9"/>
  <c r="M13" i="9"/>
  <c r="M94" i="9"/>
  <c r="M114" i="9"/>
  <c r="M347" i="9"/>
  <c r="M475" i="9"/>
  <c r="M484" i="9"/>
  <c r="M493" i="9"/>
  <c r="M499" i="9"/>
  <c r="M508" i="9"/>
  <c r="M517" i="9"/>
  <c r="M44" i="9"/>
  <c r="M100" i="9"/>
  <c r="M116" i="9"/>
  <c r="M432" i="9"/>
  <c r="M477" i="9"/>
  <c r="K59" i="8" s="1" a="1"/>
  <c r="K59" i="8" s="1"/>
  <c r="M486" i="9"/>
  <c r="M494" i="9"/>
  <c r="M501" i="9"/>
  <c r="M510" i="9"/>
  <c r="M519" i="9"/>
  <c r="M66" i="9"/>
  <c r="M106" i="9"/>
  <c r="M118" i="9"/>
  <c r="Q57" i="8" s="1" a="1"/>
  <c r="Q57" i="8" s="1"/>
  <c r="M466" i="9"/>
  <c r="M479" i="9"/>
  <c r="M488" i="9"/>
  <c r="M495" i="9"/>
  <c r="M503" i="9"/>
  <c r="M512" i="9"/>
  <c r="M521" i="9"/>
  <c r="M82" i="9"/>
  <c r="X55" i="8" s="1" a="1"/>
  <c r="X55" i="8" s="1"/>
  <c r="M111" i="9"/>
  <c r="M120" i="9"/>
  <c r="M472" i="9"/>
  <c r="M481" i="9"/>
  <c r="M490" i="9"/>
  <c r="Y60" i="8" s="1" a="1"/>
  <c r="Y60" i="8" s="1"/>
  <c r="M496" i="9"/>
  <c r="M505" i="9"/>
  <c r="M514" i="9"/>
  <c r="W62" i="8" s="1" a="1"/>
  <c r="W62" i="8" s="1"/>
  <c r="M523" i="9"/>
  <c r="M92" i="9"/>
  <c r="M113" i="9"/>
  <c r="M191" i="9"/>
  <c r="M474" i="9"/>
  <c r="M483" i="9"/>
  <c r="M492" i="9"/>
  <c r="M498" i="9"/>
  <c r="M507" i="9"/>
  <c r="M516" i="9"/>
  <c r="M531" i="9"/>
  <c r="M548" i="9"/>
  <c r="M549" i="9"/>
  <c r="M546" i="9"/>
  <c r="H3" i="6" s="1" a="1"/>
  <c r="H3" i="6" s="1"/>
  <c r="M547" i="9"/>
  <c r="M380" i="9"/>
  <c r="E69" i="6" a="1"/>
  <c r="E69" i="6" s="1"/>
  <c r="F69" i="6" a="1"/>
  <c r="F69" i="6" s="1"/>
  <c r="G69" i="6" a="1"/>
  <c r="G69" i="6" s="1"/>
  <c r="E70" i="6" a="1"/>
  <c r="E70" i="6" s="1"/>
  <c r="F70" i="6" a="1"/>
  <c r="F70" i="6" s="1"/>
  <c r="G70" i="6" a="1"/>
  <c r="G70" i="6" s="1"/>
  <c r="E73" i="6" a="1"/>
  <c r="E73" i="6" s="1"/>
  <c r="F73" i="6" a="1"/>
  <c r="F73" i="6" s="1"/>
  <c r="G73" i="6" a="1"/>
  <c r="G73" i="6" s="1"/>
  <c r="E74" i="6" a="1"/>
  <c r="E74" i="6" s="1"/>
  <c r="F74" i="6" a="1"/>
  <c r="F74" i="6" s="1"/>
  <c r="G74" i="6" a="1"/>
  <c r="G74" i="6" s="1"/>
  <c r="E61" i="6" a="1"/>
  <c r="E61" i="6" s="1"/>
  <c r="F61" i="6" a="1"/>
  <c r="F61" i="6" s="1"/>
  <c r="G61" i="6" a="1"/>
  <c r="G61" i="6" s="1"/>
  <c r="E62" i="6" a="1"/>
  <c r="E62" i="6" s="1"/>
  <c r="F62" i="6" a="1"/>
  <c r="F62" i="6" s="1"/>
  <c r="G62" i="6" a="1"/>
  <c r="G62" i="6" s="1"/>
  <c r="E65" i="6" a="1"/>
  <c r="E65" i="6" s="1"/>
  <c r="F65" i="6" a="1"/>
  <c r="F65" i="6" s="1"/>
  <c r="G65" i="6" a="1"/>
  <c r="G65" i="6" s="1"/>
  <c r="E66" i="6" a="1"/>
  <c r="E66" i="6" s="1"/>
  <c r="F66" i="6" a="1"/>
  <c r="F66" i="6" s="1"/>
  <c r="G66" i="6" a="1"/>
  <c r="G66" i="6" s="1"/>
  <c r="E57" i="6" a="1"/>
  <c r="E57" i="6" s="1"/>
  <c r="F57" i="6" a="1"/>
  <c r="F57" i="6" s="1"/>
  <c r="G57" i="6" a="1"/>
  <c r="G57" i="6" s="1"/>
  <c r="E58" i="6" a="1"/>
  <c r="E58" i="6" s="1"/>
  <c r="F58" i="6" a="1"/>
  <c r="F58" i="6" s="1"/>
  <c r="G58" i="6" a="1"/>
  <c r="G58" i="6" s="1"/>
  <c r="E49" i="6" a="1"/>
  <c r="E49" i="6" s="1"/>
  <c r="F49" i="6" a="1"/>
  <c r="F49" i="6" s="1"/>
  <c r="G49" i="6" a="1"/>
  <c r="G49" i="6" s="1"/>
  <c r="E50" i="6" a="1"/>
  <c r="E50" i="6" s="1"/>
  <c r="F50" i="6" a="1"/>
  <c r="F50" i="6" s="1"/>
  <c r="G50" i="6" a="1"/>
  <c r="G50" i="6" s="1"/>
  <c r="E37" i="6" a="1"/>
  <c r="E37" i="6" s="1"/>
  <c r="F37" i="6" a="1"/>
  <c r="F37" i="6" s="1"/>
  <c r="G37" i="6" a="1"/>
  <c r="G37" i="6" s="1"/>
  <c r="E38" i="6" a="1"/>
  <c r="E38" i="6" s="1"/>
  <c r="F38" i="6" a="1"/>
  <c r="F38" i="6" s="1"/>
  <c r="G38" i="6" a="1"/>
  <c r="G38" i="6" s="1"/>
  <c r="E41" i="6" a="1"/>
  <c r="E41" i="6" s="1"/>
  <c r="F41" i="6" a="1"/>
  <c r="F41" i="6" s="1"/>
  <c r="G41" i="6" a="1"/>
  <c r="G41" i="6" s="1"/>
  <c r="E42" i="6" a="1"/>
  <c r="E42" i="6" s="1"/>
  <c r="F42" i="6" a="1"/>
  <c r="F42" i="6" s="1"/>
  <c r="G42" i="6" a="1"/>
  <c r="G42" i="6" s="1"/>
  <c r="E29" i="6" a="1"/>
  <c r="E29" i="6" s="1"/>
  <c r="F29" i="6" a="1"/>
  <c r="F29" i="6" s="1"/>
  <c r="G29" i="6" a="1"/>
  <c r="G29" i="6" s="1"/>
  <c r="E30" i="6" a="1"/>
  <c r="E30" i="6" s="1"/>
  <c r="F30" i="6" a="1"/>
  <c r="F30" i="6" s="1"/>
  <c r="G30" i="6" a="1"/>
  <c r="G30" i="6" s="1"/>
  <c r="E25" i="6" a="1"/>
  <c r="E25" i="6" s="1"/>
  <c r="F25" i="6" a="1"/>
  <c r="F25" i="6" s="1"/>
  <c r="G25" i="6" a="1"/>
  <c r="G25" i="6" s="1"/>
  <c r="E26" i="6" a="1"/>
  <c r="E26" i="6" s="1"/>
  <c r="F26" i="6" a="1"/>
  <c r="F26" i="6" s="1"/>
  <c r="G26" i="6" a="1"/>
  <c r="G26" i="6" s="1"/>
  <c r="E33" i="6" a="1"/>
  <c r="E33" i="6" s="1"/>
  <c r="F33" i="6" a="1"/>
  <c r="F33" i="6" s="1"/>
  <c r="G33" i="6" a="1"/>
  <c r="G33" i="6" s="1"/>
  <c r="E34" i="6" a="1"/>
  <c r="E34" i="6" s="1"/>
  <c r="F34" i="6" a="1"/>
  <c r="F34" i="6" s="1"/>
  <c r="G34" i="6" a="1"/>
  <c r="G34" i="6" s="1"/>
  <c r="E9" i="6" a="1"/>
  <c r="E9" i="6" s="1"/>
  <c r="F9" i="6" a="1"/>
  <c r="F9" i="6" s="1"/>
  <c r="G9" i="6" a="1"/>
  <c r="G9" i="6" s="1"/>
  <c r="E10" i="6" a="1"/>
  <c r="E10" i="6" s="1"/>
  <c r="F10" i="6" a="1"/>
  <c r="F10" i="6" s="1"/>
  <c r="G10" i="6" a="1"/>
  <c r="G10" i="6" s="1"/>
  <c r="H8" i="6" a="1"/>
  <c r="H8" i="6" s="1"/>
  <c r="H4" i="6" a="1"/>
  <c r="H4" i="6" s="1"/>
  <c r="L38" i="8" a="1"/>
  <c r="L38" i="8" s="1"/>
  <c r="K39" i="8" a="1"/>
  <c r="K39" i="8" s="1"/>
  <c r="K43" i="8" a="1"/>
  <c r="K43" i="8" s="1"/>
  <c r="W39" i="8" a="1"/>
  <c r="W39" i="8" s="1"/>
  <c r="Y43" i="8" a="1"/>
  <c r="Y43" i="8" s="1"/>
  <c r="I49" i="8" a="1"/>
  <c r="I49" i="8" s="1"/>
  <c r="U49" i="8" a="1"/>
  <c r="U49" i="8" s="1"/>
  <c r="Z47" i="8" a="1"/>
  <c r="Z47" i="8" s="1"/>
  <c r="AA48" i="8" a="1"/>
  <c r="AA48" i="8" s="1"/>
  <c r="AA49" i="8" a="1"/>
  <c r="AA49" i="8" s="1"/>
  <c r="E46" i="8" a="1"/>
  <c r="E46" i="8" s="1"/>
  <c r="E47" i="8" a="1"/>
  <c r="E47" i="8" s="1"/>
  <c r="G51" i="8" a="1"/>
  <c r="G51" i="8" s="1"/>
  <c r="E53" i="8" a="1"/>
  <c r="E53" i="8" s="1"/>
  <c r="K50" i="8" a="1"/>
  <c r="K50" i="8" s="1"/>
  <c r="K51" i="8" a="1"/>
  <c r="K51" i="8" s="1"/>
  <c r="K54" i="8" a="1"/>
  <c r="K54" i="8" s="1"/>
  <c r="R46" i="8" a="1"/>
  <c r="R46" i="8" s="1"/>
  <c r="Q47" i="8" a="1"/>
  <c r="Q47" i="8" s="1"/>
  <c r="Q53" i="8" a="1"/>
  <c r="Q53" i="8" s="1"/>
  <c r="R54" i="8" a="1"/>
  <c r="R54" i="8" s="1"/>
  <c r="Y50" i="8" a="1"/>
  <c r="Y50" i="8" s="1"/>
  <c r="Y54" i="8" a="1"/>
  <c r="Y54" i="8" s="1"/>
  <c r="E59" i="8" a="1"/>
  <c r="E59" i="8" s="1"/>
  <c r="X58" i="8" a="1"/>
  <c r="X58" i="8" s="1"/>
  <c r="H49" i="8" a="1"/>
  <c r="H49" i="8" s="1"/>
  <c r="N48" i="8" a="1"/>
  <c r="N48" i="8" s="1"/>
  <c r="W51" i="8" a="1"/>
  <c r="W51" i="8" s="1"/>
  <c r="AA52" i="8" a="1"/>
  <c r="AA52" i="8" s="1"/>
  <c r="AB52" i="8" a="1"/>
  <c r="AB52" i="8" s="1"/>
  <c r="M54" i="8" a="1"/>
  <c r="M54" i="8" s="1"/>
  <c r="F51" i="8" a="1"/>
  <c r="F51" i="8" s="1"/>
  <c r="G46" i="8" a="1"/>
  <c r="G46" i="8" s="1"/>
  <c r="F46" i="8" a="1"/>
  <c r="F46" i="8" s="1"/>
  <c r="Y29" i="8" a="1"/>
  <c r="Y29" i="8" s="1"/>
  <c r="X32" i="8" a="1"/>
  <c r="X32" i="8" s="1"/>
  <c r="M28" i="8" a="1"/>
  <c r="M28" i="8" s="1"/>
  <c r="K29" i="8" a="1"/>
  <c r="K29" i="8" s="1"/>
  <c r="K33" i="8" a="1"/>
  <c r="K33" i="8" s="1"/>
  <c r="L35" i="8" a="1"/>
  <c r="L35" i="8" s="1"/>
  <c r="K36" i="8" a="1"/>
  <c r="K36" i="8" s="1"/>
  <c r="E31" i="8" a="1"/>
  <c r="E31" i="8" s="1"/>
  <c r="N29" i="8" a="1"/>
  <c r="N29" i="8" s="1"/>
  <c r="O35" i="8" a="1"/>
  <c r="O35" i="8" s="1"/>
  <c r="G21" i="8" a="1"/>
  <c r="G21" i="8" s="1"/>
  <c r="G25" i="8" a="1"/>
  <c r="G25" i="8" s="1"/>
  <c r="J20" i="8" a="1"/>
  <c r="J20" i="8" s="1"/>
  <c r="J26" i="8" a="1"/>
  <c r="J26" i="8" s="1"/>
  <c r="K22" i="8" a="1"/>
  <c r="K22" i="8" s="1"/>
  <c r="M25" i="8" a="1"/>
  <c r="M25" i="8" s="1"/>
  <c r="L27" i="8" a="1"/>
  <c r="L27" i="8" s="1"/>
  <c r="Q21" i="8" a="1"/>
  <c r="Q21" i="8" s="1"/>
  <c r="Q22" i="8" a="1"/>
  <c r="Q22" i="8" s="1"/>
  <c r="Q25" i="8" a="1"/>
  <c r="Q25" i="8" s="1"/>
  <c r="T20" i="8" a="1"/>
  <c r="T20" i="8" s="1"/>
  <c r="U26" i="8" a="1"/>
  <c r="U26" i="8" s="1"/>
  <c r="W20" i="8" a="1"/>
  <c r="W20" i="8" s="1"/>
  <c r="W21" i="8" a="1"/>
  <c r="W21" i="8" s="1"/>
  <c r="W22" i="8" a="1"/>
  <c r="W22" i="8" s="1"/>
  <c r="Y25" i="8" a="1"/>
  <c r="Y25" i="8" s="1"/>
  <c r="J19" i="8" a="1"/>
  <c r="J19" i="8" s="1"/>
  <c r="U19" i="8" a="1"/>
  <c r="U19" i="8" s="1"/>
  <c r="J21" i="8" a="1"/>
  <c r="J21" i="8" s="1"/>
  <c r="V21" i="8" a="1"/>
  <c r="V21" i="8" s="1"/>
  <c r="N22" i="8" a="1"/>
  <c r="N22" i="8" s="1"/>
  <c r="O27" i="8" a="1"/>
  <c r="O27" i="8" s="1"/>
  <c r="AA19" i="8" a="1"/>
  <c r="AA19" i="8" s="1"/>
  <c r="Z20" i="8" a="1"/>
  <c r="Z20" i="8" s="1"/>
  <c r="Z21" i="8" a="1"/>
  <c r="Z21" i="8" s="1"/>
  <c r="AA22" i="8" a="1"/>
  <c r="AA22" i="8" s="1"/>
  <c r="Z27" i="8" a="1"/>
  <c r="Z27" i="8" s="1"/>
  <c r="Z17" i="8" a="1"/>
  <c r="Z17" i="8" s="1"/>
  <c r="Y17" i="8" a="1"/>
  <c r="Y17" i="8" s="1"/>
  <c r="R17" i="8" a="1"/>
  <c r="R17" i="8" s="1"/>
  <c r="L17" i="8" a="1"/>
  <c r="L17" i="8" s="1"/>
  <c r="F17" i="8" a="1"/>
  <c r="F17" i="8" s="1"/>
  <c r="Z16" i="8" a="1"/>
  <c r="Z16" i="8" s="1"/>
  <c r="AA37" i="8" a="1"/>
  <c r="AA37" i="8" s="1"/>
  <c r="Z42" i="8" a="1"/>
  <c r="Z42" i="8" s="1"/>
  <c r="Z45" i="8" a="1"/>
  <c r="Z45" i="8" s="1"/>
  <c r="Z58" i="8" a="1"/>
  <c r="Z58" i="8" s="1"/>
  <c r="Z59" i="8" a="1"/>
  <c r="Z59" i="8" s="1"/>
  <c r="E10" i="8" a="1"/>
  <c r="E10" i="8" s="1"/>
  <c r="E14" i="8" a="1"/>
  <c r="E14" i="8" s="1"/>
  <c r="M10" i="8" a="1"/>
  <c r="M10" i="8" s="1"/>
  <c r="K13" i="8" a="1"/>
  <c r="K13" i="8" s="1"/>
  <c r="K14" i="8" a="1"/>
  <c r="K14" i="8" s="1"/>
  <c r="R10" i="8" a="1"/>
  <c r="R10" i="8" s="1"/>
  <c r="Q12" i="8" a="1"/>
  <c r="Q12" i="8" s="1"/>
  <c r="Q14" i="8" a="1"/>
  <c r="Q14" i="8" s="1"/>
  <c r="W10" i="8" a="1"/>
  <c r="W10" i="8" s="1"/>
  <c r="W13" i="8" a="1"/>
  <c r="W13" i="8" s="1"/>
  <c r="X14" i="8" a="1"/>
  <c r="X14" i="8" s="1"/>
  <c r="N4" i="13"/>
  <c r="N3" i="13"/>
  <c r="M4" i="13"/>
  <c r="M5" i="13"/>
  <c r="M6" i="13"/>
  <c r="L4" i="13"/>
  <c r="L5" i="13"/>
  <c r="L6" i="13"/>
  <c r="M3" i="13"/>
  <c r="L3" i="13"/>
  <c r="K4" i="13"/>
  <c r="P4" i="13" s="1"/>
  <c r="K5" i="13"/>
  <c r="P5" i="13" s="1"/>
  <c r="K6" i="13"/>
  <c r="P6" i="13" s="1"/>
  <c r="K3" i="13"/>
  <c r="P3" i="13" s="1"/>
  <c r="D47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" i="13"/>
  <c r="D5" i="13"/>
  <c r="D6" i="13"/>
  <c r="D7" i="13"/>
  <c r="D8" i="13"/>
  <c r="D9" i="13"/>
  <c r="D10" i="13"/>
  <c r="D3" i="13"/>
  <c r="E56" i="8" a="1"/>
  <c r="E56" i="8" s="1"/>
  <c r="G56" i="8" a="1"/>
  <c r="G56" i="8" s="1"/>
  <c r="I56" i="8" a="1"/>
  <c r="I56" i="8" s="1"/>
  <c r="J56" i="8" a="1"/>
  <c r="J56" i="8" s="1"/>
  <c r="Q56" i="8" a="1"/>
  <c r="Q56" i="8" s="1"/>
  <c r="R56" i="8" a="1"/>
  <c r="R56" i="8" s="1"/>
  <c r="S56" i="8" a="1"/>
  <c r="S56" i="8" s="1"/>
  <c r="W57" i="8" a="1"/>
  <c r="W57" i="8" s="1"/>
  <c r="X57" i="8" a="1"/>
  <c r="X57" i="8" s="1"/>
  <c r="Y57" i="8" a="1"/>
  <c r="Y57" i="8" s="1"/>
  <c r="K58" i="8" a="1"/>
  <c r="K58" i="8" s="1"/>
  <c r="L58" i="8" a="1"/>
  <c r="L58" i="8" s="1"/>
  <c r="M58" i="8" a="1"/>
  <c r="M58" i="8" s="1"/>
  <c r="W58" i="8" a="1"/>
  <c r="W58" i="8" s="1"/>
  <c r="Y58" i="8" a="1"/>
  <c r="Y58" i="8" s="1"/>
  <c r="Q59" i="8" a="1"/>
  <c r="Q59" i="8" s="1"/>
  <c r="R59" i="8" a="1"/>
  <c r="R59" i="8" s="1"/>
  <c r="S59" i="8" a="1"/>
  <c r="S59" i="8" s="1"/>
  <c r="E60" i="8" a="1"/>
  <c r="E60" i="8" s="1"/>
  <c r="F60" i="8" a="1"/>
  <c r="F60" i="8" s="1"/>
  <c r="G60" i="8" a="1"/>
  <c r="G60" i="8" s="1"/>
  <c r="Q60" i="8" a="1"/>
  <c r="Q60" i="8" s="1"/>
  <c r="S60" i="8" a="1"/>
  <c r="S60" i="8" s="1"/>
  <c r="K61" i="8" a="1"/>
  <c r="K61" i="8" s="1"/>
  <c r="L61" i="8" a="1"/>
  <c r="L61" i="8" s="1"/>
  <c r="M61" i="8" a="1"/>
  <c r="M61" i="8" s="1"/>
  <c r="W61" i="8" a="1"/>
  <c r="W61" i="8" s="1"/>
  <c r="X61" i="8" a="1"/>
  <c r="X61" i="8" s="1"/>
  <c r="Y61" i="8" a="1"/>
  <c r="Y61" i="8" s="1"/>
  <c r="E62" i="8" a="1"/>
  <c r="E62" i="8" s="1"/>
  <c r="F62" i="8" a="1"/>
  <c r="F62" i="8" s="1"/>
  <c r="G62" i="8" a="1"/>
  <c r="G62" i="8" s="1"/>
  <c r="H62" i="8" a="1"/>
  <c r="H62" i="8" s="1"/>
  <c r="I62" i="8" a="1"/>
  <c r="I62" i="8" s="1"/>
  <c r="J62" i="8" a="1"/>
  <c r="J62" i="8" s="1"/>
  <c r="T62" i="8" a="1"/>
  <c r="T62" i="8" s="1"/>
  <c r="U62" i="8" a="1"/>
  <c r="U62" i="8" s="1"/>
  <c r="V62" i="8" a="1"/>
  <c r="V62" i="8" s="1"/>
  <c r="E63" i="8" a="1"/>
  <c r="E63" i="8" s="1"/>
  <c r="F63" i="8" a="1"/>
  <c r="F63" i="8" s="1"/>
  <c r="G63" i="8" a="1"/>
  <c r="G63" i="8" s="1"/>
  <c r="Q63" i="8" a="1"/>
  <c r="Q63" i="8" s="1"/>
  <c r="R63" i="8" a="1"/>
  <c r="R63" i="8" s="1"/>
  <c r="S63" i="8" a="1"/>
  <c r="S63" i="8" s="1"/>
  <c r="G55" i="8" a="1"/>
  <c r="G55" i="8" s="1"/>
  <c r="F55" i="8" a="1"/>
  <c r="F55" i="8" s="1"/>
  <c r="E55" i="8" a="1"/>
  <c r="E55" i="8" s="1"/>
  <c r="E38" i="8" a="1"/>
  <c r="E38" i="8" s="1"/>
  <c r="F38" i="8" a="1"/>
  <c r="F38" i="8" s="1"/>
  <c r="G38" i="8" a="1"/>
  <c r="G38" i="8" s="1"/>
  <c r="Q38" i="8" a="1"/>
  <c r="Q38" i="8" s="1"/>
  <c r="R38" i="8" a="1"/>
  <c r="R38" i="8" s="1"/>
  <c r="S38" i="8" a="1"/>
  <c r="S38" i="8" s="1"/>
  <c r="M39" i="8" a="1"/>
  <c r="M39" i="8" s="1"/>
  <c r="G40" i="8" a="1"/>
  <c r="G40" i="8" s="1"/>
  <c r="K40" i="8" a="1"/>
  <c r="K40" i="8" s="1"/>
  <c r="L40" i="8" a="1"/>
  <c r="L40" i="8" s="1"/>
  <c r="M40" i="8" a="1"/>
  <c r="M40" i="8" s="1"/>
  <c r="Q40" i="8" a="1"/>
  <c r="Q40" i="8" s="1"/>
  <c r="R40" i="8" a="1"/>
  <c r="R40" i="8" s="1"/>
  <c r="W40" i="8" a="1"/>
  <c r="W40" i="8" s="1"/>
  <c r="X40" i="8" a="1"/>
  <c r="X40" i="8" s="1"/>
  <c r="Y40" i="8" a="1"/>
  <c r="Y40" i="8" s="1"/>
  <c r="F41" i="8" a="1"/>
  <c r="F41" i="8" s="1"/>
  <c r="L41" i="8" a="1"/>
  <c r="L41" i="8" s="1"/>
  <c r="S41" i="8" a="1"/>
  <c r="S41" i="8" s="1"/>
  <c r="G42" i="8" a="1"/>
  <c r="G42" i="8" s="1"/>
  <c r="K42" i="8" a="1"/>
  <c r="K42" i="8" s="1"/>
  <c r="L42" i="8" a="1"/>
  <c r="L42" i="8" s="1"/>
  <c r="M42" i="8" a="1"/>
  <c r="M42" i="8" s="1"/>
  <c r="W42" i="8" a="1"/>
  <c r="W42" i="8" s="1"/>
  <c r="X42" i="8" a="1"/>
  <c r="X42" i="8" s="1"/>
  <c r="Y42" i="8" a="1"/>
  <c r="Y42" i="8" s="1"/>
  <c r="E43" i="8" a="1"/>
  <c r="E43" i="8" s="1"/>
  <c r="F43" i="8" a="1"/>
  <c r="F43" i="8" s="1"/>
  <c r="G43" i="8" a="1"/>
  <c r="G43" i="8" s="1"/>
  <c r="M43" i="8" a="1"/>
  <c r="M43" i="8" s="1"/>
  <c r="Q43" i="8" a="1"/>
  <c r="Q43" i="8" s="1"/>
  <c r="R43" i="8" a="1"/>
  <c r="R43" i="8" s="1"/>
  <c r="S43" i="8" a="1"/>
  <c r="S43" i="8" s="1"/>
  <c r="J44" i="8" a="1"/>
  <c r="J44" i="8" s="1"/>
  <c r="N44" i="8" a="1"/>
  <c r="N44" i="8" s="1"/>
  <c r="O44" i="8" a="1"/>
  <c r="O44" i="8" s="1"/>
  <c r="P44" i="8" a="1"/>
  <c r="P44" i="8" s="1"/>
  <c r="T44" i="8" a="1"/>
  <c r="T44" i="8" s="1"/>
  <c r="V44" i="8" a="1"/>
  <c r="V44" i="8" s="1"/>
  <c r="W44" i="8" a="1"/>
  <c r="W44" i="8" s="1"/>
  <c r="Z44" i="8" a="1"/>
  <c r="Z44" i="8" s="1"/>
  <c r="AA44" i="8" a="1"/>
  <c r="AA44" i="8" s="1"/>
  <c r="AB44" i="8" a="1"/>
  <c r="AB44" i="8" s="1"/>
  <c r="E45" i="8" a="1"/>
  <c r="E45" i="8" s="1"/>
  <c r="F45" i="8" a="1"/>
  <c r="F45" i="8" s="1"/>
  <c r="G45" i="8" a="1"/>
  <c r="G45" i="8" s="1"/>
  <c r="L45" i="8" a="1"/>
  <c r="L45" i="8" s="1"/>
  <c r="Q45" i="8" a="1"/>
  <c r="Q45" i="8" s="1"/>
  <c r="R45" i="8" a="1"/>
  <c r="R45" i="8" s="1"/>
  <c r="S45" i="8" a="1"/>
  <c r="S45" i="8" s="1"/>
  <c r="R37" i="8" a="1"/>
  <c r="R37" i="8" s="1"/>
  <c r="M37" i="8" a="1"/>
  <c r="M37" i="8" s="1"/>
  <c r="L37" i="8" a="1"/>
  <c r="L37" i="8" s="1"/>
  <c r="K37" i="8" a="1"/>
  <c r="K37" i="8" s="1"/>
  <c r="F30" i="8" a="1"/>
  <c r="F30" i="8" s="1"/>
  <c r="G30" i="8" a="1"/>
  <c r="G30" i="8" s="1"/>
  <c r="E33" i="8" a="1"/>
  <c r="E33" i="8" s="1"/>
  <c r="F33" i="8" a="1"/>
  <c r="F33" i="8" s="1"/>
  <c r="G33" i="8" a="1"/>
  <c r="G33" i="8" s="1"/>
  <c r="E35" i="8" a="1"/>
  <c r="E35" i="8" s="1"/>
  <c r="F35" i="8" a="1"/>
  <c r="F35" i="8" s="1"/>
  <c r="G35" i="8" a="1"/>
  <c r="G35" i="8" s="1"/>
  <c r="Z29" i="8" a="1"/>
  <c r="Z29" i="8" s="1"/>
  <c r="W32" i="8" a="1"/>
  <c r="W32" i="8" s="1"/>
  <c r="W33" i="8" a="1"/>
  <c r="W33" i="8" s="1"/>
  <c r="X33" i="8" a="1"/>
  <c r="X33" i="8" s="1"/>
  <c r="Y33" i="8" a="1"/>
  <c r="Y33" i="8" s="1"/>
  <c r="W35" i="8" a="1"/>
  <c r="W35" i="8" s="1"/>
  <c r="Y36" i="8" a="1"/>
  <c r="Y36" i="8" s="1"/>
  <c r="T35" i="8" a="1"/>
  <c r="T35" i="8" s="1"/>
  <c r="U35" i="8" a="1"/>
  <c r="U35" i="8" s="1"/>
  <c r="V35" i="8" a="1"/>
  <c r="V35" i="8" s="1"/>
  <c r="Q29" i="8" a="1"/>
  <c r="Q29" i="8" s="1"/>
  <c r="R29" i="8" a="1"/>
  <c r="R29" i="8" s="1"/>
  <c r="S29" i="8" a="1"/>
  <c r="S29" i="8" s="1"/>
  <c r="Q33" i="8" a="1"/>
  <c r="Q33" i="8" s="1"/>
  <c r="Q36" i="8" a="1"/>
  <c r="Q36" i="8" s="1"/>
  <c r="R36" i="8" a="1"/>
  <c r="R36" i="8" s="1"/>
  <c r="S36" i="8" a="1"/>
  <c r="S36" i="8" s="1"/>
  <c r="X28" i="8" a="1"/>
  <c r="X28" i="8" s="1"/>
  <c r="W28" i="8" a="1"/>
  <c r="W28" i="8" s="1"/>
  <c r="Z11" i="8" a="1"/>
  <c r="Z11" i="8" s="1"/>
  <c r="AA16" i="8" a="1"/>
  <c r="AA16" i="8" s="1"/>
  <c r="AB16" i="8" a="1"/>
  <c r="AB16" i="8" s="1"/>
  <c r="X17" i="8" a="1"/>
  <c r="X17" i="8" s="1"/>
  <c r="E17" i="8" a="1"/>
  <c r="E17" i="8" s="1"/>
  <c r="P29" i="8" a="1"/>
  <c r="P29" i="8" s="1"/>
  <c r="S17" i="8" a="1"/>
  <c r="S17" i="8" s="1"/>
  <c r="M12" i="8" a="1"/>
  <c r="M12" i="8" s="1"/>
  <c r="J29" i="8" a="1"/>
  <c r="J29" i="8" s="1"/>
  <c r="I29" i="8" a="1"/>
  <c r="I29" i="8" s="1"/>
  <c r="I21" i="8" a="1"/>
  <c r="I21" i="8" s="1"/>
  <c r="I24" i="8" a="1"/>
  <c r="I24" i="8" s="1"/>
  <c r="I26" i="8" a="1"/>
  <c r="I26" i="8" s="1"/>
  <c r="I19" i="8" a="1"/>
  <c r="I19" i="8" s="1"/>
  <c r="H18" i="7" l="1" a="1"/>
  <c r="H18" i="7" s="1"/>
  <c r="I18" i="7" a="1"/>
  <c r="I18" i="7" s="1"/>
  <c r="J18" i="7" a="1"/>
  <c r="J18" i="7" s="1"/>
  <c r="K44" i="8" a="1"/>
  <c r="K44" i="8" s="1"/>
  <c r="Q32" i="8" a="1"/>
  <c r="Q32" i="8" s="1"/>
  <c r="Y44" i="8" a="1"/>
  <c r="Y44" i="8" s="1"/>
  <c r="F18" i="7" a="1"/>
  <c r="F18" i="7" s="1"/>
  <c r="G18" i="7" a="1"/>
  <c r="G18" i="7" s="1"/>
  <c r="E18" i="7" a="1"/>
  <c r="E18" i="7" s="1"/>
  <c r="Y62" i="8" a="1"/>
  <c r="Y62" i="8" s="1"/>
  <c r="H21" i="7" a="1"/>
  <c r="H21" i="7" s="1"/>
  <c r="I21" i="7" a="1"/>
  <c r="I21" i="7" s="1"/>
  <c r="J21" i="7" a="1"/>
  <c r="J21" i="7" s="1"/>
  <c r="M44" i="8" a="1"/>
  <c r="M44" i="8" s="1"/>
  <c r="G36" i="7" a="1"/>
  <c r="G36" i="7" s="1"/>
  <c r="F36" i="7" a="1"/>
  <c r="F36" i="7" s="1"/>
  <c r="E36" i="7" a="1"/>
  <c r="E36" i="7" s="1"/>
  <c r="J39" i="7" a="1"/>
  <c r="J39" i="7" s="1"/>
  <c r="I39" i="7" a="1"/>
  <c r="I39" i="7" s="1"/>
  <c r="H39" i="7" a="1"/>
  <c r="H39" i="7" s="1"/>
  <c r="H36" i="7" a="1"/>
  <c r="H36" i="7" s="1"/>
  <c r="I36" i="7" a="1"/>
  <c r="I36" i="7" s="1"/>
  <c r="J36" i="7" a="1"/>
  <c r="J36" i="7" s="1"/>
  <c r="E28" i="8" a="1"/>
  <c r="E28" i="8" s="1"/>
  <c r="Y30" i="8" a="1"/>
  <c r="Y30" i="8" s="1"/>
  <c r="W37" i="8" a="1"/>
  <c r="W37" i="8" s="1"/>
  <c r="S32" i="8" a="1"/>
  <c r="S32" i="8" s="1"/>
  <c r="G28" i="8" a="1"/>
  <c r="G28" i="8" s="1"/>
  <c r="W30" i="8" a="1"/>
  <c r="W30" i="8" s="1"/>
  <c r="Y37" i="8" a="1"/>
  <c r="Y37" i="8" s="1"/>
  <c r="T54" i="8" a="1"/>
  <c r="T54" i="8" s="1"/>
  <c r="G41" i="8" a="1"/>
  <c r="G41" i="8" s="1"/>
  <c r="Y11" i="8" a="1"/>
  <c r="Y11" i="8" s="1"/>
  <c r="R41" i="8" a="1"/>
  <c r="R41" i="8" s="1"/>
  <c r="K11" i="8" a="1"/>
  <c r="K11" i="8" s="1"/>
  <c r="V54" i="8" a="1"/>
  <c r="V54" i="8" s="1"/>
  <c r="M11" i="8" a="1"/>
  <c r="M11" i="8" s="1"/>
  <c r="E12" i="8" a="1"/>
  <c r="E12" i="8" s="1"/>
  <c r="H51" i="8" a="1"/>
  <c r="H51" i="8" s="1"/>
  <c r="E23" i="6" a="1"/>
  <c r="E23" i="6" s="1"/>
  <c r="E24" i="6" a="1"/>
  <c r="E24" i="6" s="1"/>
  <c r="F23" i="6" a="1"/>
  <c r="F23" i="6" s="1"/>
  <c r="F24" i="6" a="1"/>
  <c r="F24" i="6" s="1"/>
  <c r="E35" i="6" a="1"/>
  <c r="E35" i="6" s="1"/>
  <c r="E39" i="6" a="1"/>
  <c r="E39" i="6" s="1"/>
  <c r="AD63" i="8" a="1"/>
  <c r="AD63" i="8" s="1"/>
  <c r="AD58" i="8" a="1"/>
  <c r="AD58" i="8" s="1"/>
  <c r="AE55" i="8" a="1"/>
  <c r="AE55" i="8" s="1"/>
  <c r="W59" i="8" a="1"/>
  <c r="W59" i="8" s="1"/>
  <c r="W56" i="8" a="1"/>
  <c r="W56" i="8" s="1"/>
  <c r="Q62" i="8" a="1"/>
  <c r="Q62" i="8" s="1"/>
  <c r="R60" i="8" a="1"/>
  <c r="R60" i="8" s="1"/>
  <c r="K63" i="8" a="1"/>
  <c r="K63" i="8" s="1"/>
  <c r="M55" i="8" a="1"/>
  <c r="M55" i="8" s="1"/>
  <c r="E61" i="8" a="1"/>
  <c r="E61" i="8" s="1"/>
  <c r="F56" i="8" a="1"/>
  <c r="F56" i="8" s="1"/>
  <c r="N62" i="8" a="1"/>
  <c r="N62" i="8" s="1"/>
  <c r="AC52" i="8" a="1"/>
  <c r="AC52" i="8" s="1"/>
  <c r="AE50" i="8" a="1"/>
  <c r="AE50" i="8" s="1"/>
  <c r="AC47" i="8" a="1"/>
  <c r="AC47" i="8" s="1"/>
  <c r="Y51" i="8" a="1"/>
  <c r="Y51" i="8" s="1"/>
  <c r="V53" i="8" a="1"/>
  <c r="V53" i="8" s="1"/>
  <c r="Q51" i="8" a="1"/>
  <c r="Q51" i="8" s="1"/>
  <c r="Q48" i="8" a="1"/>
  <c r="Q48" i="8" s="1"/>
  <c r="O53" i="8" a="1"/>
  <c r="O53" i="8" s="1"/>
  <c r="L53" i="8" a="1"/>
  <c r="L53" i="8" s="1"/>
  <c r="H53" i="8" a="1"/>
  <c r="H53" i="8" s="1"/>
  <c r="E51" i="8" a="1"/>
  <c r="E51" i="8" s="1"/>
  <c r="E48" i="8" a="1"/>
  <c r="E48" i="8" s="1"/>
  <c r="Z54" i="8" a="1"/>
  <c r="Z54" i="8" s="1"/>
  <c r="H28" i="6" a="1"/>
  <c r="H28" i="6" s="1"/>
  <c r="U52" i="8" a="1"/>
  <c r="U52" i="8" s="1"/>
  <c r="H48" i="6" a="1"/>
  <c r="H48" i="6" s="1"/>
  <c r="H59" i="6" a="1"/>
  <c r="H59" i="6" s="1"/>
  <c r="H63" i="6" a="1"/>
  <c r="H63" i="6" s="1"/>
  <c r="T46" i="8" a="1"/>
  <c r="T46" i="8" s="1"/>
  <c r="AD45" i="8" a="1"/>
  <c r="AD45" i="8" s="1"/>
  <c r="AE40" i="8" a="1"/>
  <c r="AE40" i="8" s="1"/>
  <c r="AE37" i="8" a="1"/>
  <c r="AE37" i="8" s="1"/>
  <c r="W41" i="8" a="1"/>
  <c r="W41" i="8" s="1"/>
  <c r="Y38" i="8" a="1"/>
  <c r="Y38" i="8" s="1"/>
  <c r="V38" i="8" a="1"/>
  <c r="V38" i="8" s="1"/>
  <c r="M41" i="8" a="1"/>
  <c r="M41" i="8" s="1"/>
  <c r="M38" i="8" a="1"/>
  <c r="M38" i="8" s="1"/>
  <c r="H38" i="8" a="1"/>
  <c r="H38" i="8" s="1"/>
  <c r="AD34" i="8" a="1"/>
  <c r="AD34" i="8" s="1"/>
  <c r="AC32" i="8" a="1"/>
  <c r="AC32" i="8" s="1"/>
  <c r="AC29" i="8" a="1"/>
  <c r="AC29" i="8" s="1"/>
  <c r="X35" i="8" a="1"/>
  <c r="X35" i="8" s="1"/>
  <c r="R31" i="8" a="1"/>
  <c r="R31" i="8" s="1"/>
  <c r="S28" i="8" a="1"/>
  <c r="S28" i="8" s="1"/>
  <c r="L34" i="8" a="1"/>
  <c r="L34" i="8" s="1"/>
  <c r="K32" i="8" a="1"/>
  <c r="K32" i="8" s="1"/>
  <c r="Z35" i="8" a="1"/>
  <c r="Z35" i="8" s="1"/>
  <c r="T29" i="8" a="1"/>
  <c r="T29" i="8" s="1"/>
  <c r="I35" i="8" a="1"/>
  <c r="I35" i="8" s="1"/>
  <c r="AC26" i="8" a="1"/>
  <c r="AC26" i="8" s="1"/>
  <c r="AC24" i="8" a="1"/>
  <c r="AC24" i="8" s="1"/>
  <c r="AC21" i="8" a="1"/>
  <c r="AC21" i="8" s="1"/>
  <c r="Y19" i="8" a="1"/>
  <c r="Y19" i="8" s="1"/>
  <c r="R27" i="8" a="1"/>
  <c r="R27" i="8" s="1"/>
  <c r="M19" i="8" a="1"/>
  <c r="M19" i="8" s="1"/>
  <c r="F27" i="8" a="1"/>
  <c r="F27" i="8" s="1"/>
  <c r="F22" i="8" a="1"/>
  <c r="F22" i="8" s="1"/>
  <c r="N25" i="8" a="1"/>
  <c r="N25" i="8" s="1"/>
  <c r="AD16" i="8" a="1"/>
  <c r="AD16" i="8" s="1"/>
  <c r="AD14" i="8" a="1"/>
  <c r="AD14" i="8" s="1"/>
  <c r="X15" i="8" a="1"/>
  <c r="X15" i="8" s="1"/>
  <c r="L15" i="8" a="1"/>
  <c r="L15" i="8" s="1"/>
  <c r="V48" i="8" a="1"/>
  <c r="V48" i="8" s="1"/>
  <c r="AA61" i="8" a="1"/>
  <c r="AA61" i="8" s="1"/>
  <c r="AC62" i="8" a="1"/>
  <c r="AC62" i="8" s="1"/>
  <c r="AE60" i="8" a="1"/>
  <c r="AE60" i="8" s="1"/>
  <c r="AC57" i="8" a="1"/>
  <c r="AC57" i="8" s="1"/>
  <c r="Y63" i="8" a="1"/>
  <c r="Y63" i="8" s="1"/>
  <c r="Q61" i="8" a="1"/>
  <c r="Q61" i="8" s="1"/>
  <c r="K62" i="8" a="1"/>
  <c r="K62" i="8" s="1"/>
  <c r="K60" i="8" a="1"/>
  <c r="K60" i="8" s="1"/>
  <c r="L57" i="8" a="1"/>
  <c r="L57" i="8" s="1"/>
  <c r="E58" i="8" a="1"/>
  <c r="E58" i="8" s="1"/>
  <c r="N56" i="8" a="1"/>
  <c r="N56" i="8" s="1"/>
  <c r="AC54" i="8" a="1"/>
  <c r="AC54" i="8" s="1"/>
  <c r="AC49" i="8" a="1"/>
  <c r="AC49" i="8" s="1"/>
  <c r="AE46" i="8" a="1"/>
  <c r="AE46" i="8" s="1"/>
  <c r="W52" i="8" a="1"/>
  <c r="W52" i="8" s="1"/>
  <c r="Y47" i="8" a="1"/>
  <c r="Y47" i="8" s="1"/>
  <c r="T47" i="8" a="1"/>
  <c r="T47" i="8" s="1"/>
  <c r="R52" i="8" a="1"/>
  <c r="R52" i="8" s="1"/>
  <c r="R50" i="8" a="1"/>
  <c r="R50" i="8" s="1"/>
  <c r="L52" i="8" a="1"/>
  <c r="L52" i="8" s="1"/>
  <c r="M47" i="8" a="1"/>
  <c r="M47" i="8" s="1"/>
  <c r="H47" i="8" a="1"/>
  <c r="H47" i="8" s="1"/>
  <c r="E52" i="8" a="1"/>
  <c r="E52" i="8" s="1"/>
  <c r="E50" i="8" a="1"/>
  <c r="E50" i="8" s="1"/>
  <c r="H60" i="6" a="1"/>
  <c r="H60" i="6" s="1"/>
  <c r="O54" i="8" a="1"/>
  <c r="O54" i="8" s="1"/>
  <c r="O52" i="8" a="1"/>
  <c r="O52" i="8" s="1"/>
  <c r="H64" i="6" a="1"/>
  <c r="H64" i="6" s="1"/>
  <c r="H32" i="6" a="1"/>
  <c r="H32" i="6" s="1"/>
  <c r="H27" i="6" a="1"/>
  <c r="H27" i="6" s="1"/>
  <c r="H47" i="6" a="1"/>
  <c r="H47" i="6" s="1"/>
  <c r="P46" i="8" a="1"/>
  <c r="P46" i="8" s="1"/>
  <c r="AC44" i="8" a="1"/>
  <c r="AC44" i="8" s="1"/>
  <c r="AC42" i="8" a="1"/>
  <c r="AC42" i="8" s="1"/>
  <c r="AC39" i="8" a="1"/>
  <c r="AC39" i="8" s="1"/>
  <c r="Y45" i="8" a="1"/>
  <c r="Y45" i="8" s="1"/>
  <c r="S40" i="8" a="1"/>
  <c r="S40" i="8" s="1"/>
  <c r="Q37" i="8" a="1"/>
  <c r="Q37" i="8" s="1"/>
  <c r="K45" i="8" a="1"/>
  <c r="K45" i="8" s="1"/>
  <c r="E40" i="8" a="1"/>
  <c r="E40" i="8" s="1"/>
  <c r="F37" i="8" a="1"/>
  <c r="F37" i="8" s="1"/>
  <c r="AC36" i="8" a="1"/>
  <c r="AC36" i="8" s="1"/>
  <c r="AC31" i="8" a="1"/>
  <c r="AC31" i="8" s="1"/>
  <c r="AE28" i="8" a="1"/>
  <c r="AE28" i="8" s="1"/>
  <c r="X34" i="8" a="1"/>
  <c r="X34" i="8" s="1"/>
  <c r="Q35" i="8" a="1"/>
  <c r="Q35" i="8" s="1"/>
  <c r="R33" i="8" a="1"/>
  <c r="R33" i="8" s="1"/>
  <c r="Q30" i="8" a="1"/>
  <c r="Q30" i="8" s="1"/>
  <c r="K31" i="8" a="1"/>
  <c r="K31" i="8" s="1"/>
  <c r="F34" i="8" a="1"/>
  <c r="F34" i="8" s="1"/>
  <c r="F32" i="8" a="1"/>
  <c r="F32" i="8" s="1"/>
  <c r="E29" i="8" a="1"/>
  <c r="E29" i="8" s="1"/>
  <c r="AA29" i="8" a="1"/>
  <c r="AA29" i="8" s="1"/>
  <c r="AC25" i="8" a="1"/>
  <c r="AC25" i="8" s="1"/>
  <c r="AC23" i="8" a="1"/>
  <c r="AC23" i="8" s="1"/>
  <c r="AD20" i="8" a="1"/>
  <c r="AD20" i="8" s="1"/>
  <c r="W26" i="8" a="1"/>
  <c r="W26" i="8" s="1"/>
  <c r="X24" i="8" a="1"/>
  <c r="X24" i="8" s="1"/>
  <c r="O26" i="8" a="1"/>
  <c r="O26" i="8" s="1"/>
  <c r="K26" i="8" a="1"/>
  <c r="K26" i="8" s="1"/>
  <c r="K24" i="8" a="1"/>
  <c r="K24" i="8" s="1"/>
  <c r="K21" i="8" a="1"/>
  <c r="K21" i="8" s="1"/>
  <c r="J27" i="8" a="1"/>
  <c r="J27" i="8" s="1"/>
  <c r="J25" i="8" a="1"/>
  <c r="J25" i="8" s="1"/>
  <c r="AE18" i="8" a="1"/>
  <c r="AE18" i="8" s="1"/>
  <c r="AD13" i="8" a="1"/>
  <c r="AD13" i="8" s="1"/>
  <c r="P48" i="8" a="1"/>
  <c r="P48" i="8" s="1"/>
  <c r="N21" i="8" a="1"/>
  <c r="N21" i="8" s="1"/>
  <c r="Z15" i="8" a="1"/>
  <c r="Z15" i="8" s="1"/>
  <c r="AC61" i="8" a="1"/>
  <c r="AC61" i="8" s="1"/>
  <c r="AC59" i="8" a="1"/>
  <c r="AC59" i="8" s="1"/>
  <c r="AC56" i="8" a="1"/>
  <c r="AC56" i="8" s="1"/>
  <c r="W60" i="8" a="1"/>
  <c r="W60" i="8" s="1"/>
  <c r="Q58" i="8" a="1"/>
  <c r="Q58" i="8" s="1"/>
  <c r="S55" i="8" a="1"/>
  <c r="S55" i="8" s="1"/>
  <c r="K56" i="8" a="1"/>
  <c r="K56" i="8" s="1"/>
  <c r="E57" i="8" a="1"/>
  <c r="E57" i="8" s="1"/>
  <c r="Z62" i="8" a="1"/>
  <c r="Z62" i="8" s="1"/>
  <c r="T56" i="8" a="1"/>
  <c r="T56" i="8" s="1"/>
  <c r="AE53" i="8" a="1"/>
  <c r="AE53" i="8" s="1"/>
  <c r="AC51" i="8" a="1"/>
  <c r="AC51" i="8" s="1"/>
  <c r="AC48" i="8" a="1"/>
  <c r="AC48" i="8" s="1"/>
  <c r="X49" i="8" a="1"/>
  <c r="X49" i="8" s="1"/>
  <c r="X46" i="8" a="1"/>
  <c r="X46" i="8" s="1"/>
  <c r="R49" i="8" a="1"/>
  <c r="R49" i="8" s="1"/>
  <c r="L54" i="8" a="1"/>
  <c r="L54" i="8" s="1"/>
  <c r="M49" i="8" a="1"/>
  <c r="M49" i="8" s="1"/>
  <c r="M46" i="8" a="1"/>
  <c r="M46" i="8" s="1"/>
  <c r="E54" i="8" a="1"/>
  <c r="E54" i="8" s="1"/>
  <c r="E49" i="8" a="1"/>
  <c r="E49" i="8" s="1"/>
  <c r="Z52" i="8" a="1"/>
  <c r="Z52" i="8" s="1"/>
  <c r="AB46" i="8" a="1"/>
  <c r="AB46" i="8" s="1"/>
  <c r="H54" i="8" a="1"/>
  <c r="H54" i="8" s="1"/>
  <c r="H52" i="8" a="1"/>
  <c r="H52" i="8" s="1"/>
  <c r="H48" i="8" a="1"/>
  <c r="H48" i="8" s="1"/>
  <c r="J46" i="8" a="1"/>
  <c r="J46" i="8" s="1"/>
  <c r="AC43" i="8" a="1"/>
  <c r="AC43" i="8" s="1"/>
  <c r="AC41" i="8" a="1"/>
  <c r="AC41" i="8" s="1"/>
  <c r="AC38" i="8" a="1"/>
  <c r="AC38" i="8" s="1"/>
  <c r="U44" i="8" a="1"/>
  <c r="U44" i="8" s="1"/>
  <c r="R44" i="8" a="1"/>
  <c r="R44" i="8" s="1"/>
  <c r="R42" i="8" a="1"/>
  <c r="R42" i="8" s="1"/>
  <c r="Q39" i="8" a="1"/>
  <c r="Q39" i="8" s="1"/>
  <c r="H44" i="8" a="1"/>
  <c r="H44" i="8" s="1"/>
  <c r="F44" i="8" a="1"/>
  <c r="F44" i="8" s="1"/>
  <c r="E42" i="8" a="1"/>
  <c r="E42" i="8" s="1"/>
  <c r="F39" i="8" a="1"/>
  <c r="F39" i="8" s="1"/>
  <c r="AE35" i="8" a="1"/>
  <c r="AE35" i="8" s="1"/>
  <c r="AC33" i="8" a="1"/>
  <c r="AC33" i="8" s="1"/>
  <c r="AC30" i="8" a="1"/>
  <c r="AC30" i="8" s="1"/>
  <c r="X36" i="8" a="1"/>
  <c r="X36" i="8" s="1"/>
  <c r="W31" i="8" a="1"/>
  <c r="W31" i="8" s="1"/>
  <c r="Y28" i="8" a="1"/>
  <c r="Y28" i="8" s="1"/>
  <c r="Q34" i="8" a="1"/>
  <c r="Q34" i="8" s="1"/>
  <c r="K30" i="8" a="1"/>
  <c r="K30" i="8" s="1"/>
  <c r="E36" i="8" a="1"/>
  <c r="E36" i="8" s="1"/>
  <c r="AD27" i="8" a="1"/>
  <c r="AD27" i="8" s="1"/>
  <c r="AE22" i="8" a="1"/>
  <c r="AE22" i="8" s="1"/>
  <c r="AE19" i="8" a="1"/>
  <c r="AE19" i="8" s="1"/>
  <c r="Q23" i="8" a="1"/>
  <c r="Q23" i="8" s="1"/>
  <c r="Q20" i="8" a="1"/>
  <c r="Q20" i="8" s="1"/>
  <c r="N20" i="8" a="1"/>
  <c r="N20" i="8" s="1"/>
  <c r="E23" i="8" a="1"/>
  <c r="E23" i="8" s="1"/>
  <c r="E20" i="8" a="1"/>
  <c r="E20" i="8" s="1"/>
  <c r="AA26" i="8" a="1"/>
  <c r="AA26" i="8" s="1"/>
  <c r="H31" i="6" a="1"/>
  <c r="H31" i="6" s="1"/>
  <c r="P19" i="8" a="1"/>
  <c r="P19" i="8" s="1"/>
  <c r="AD17" i="8" a="1"/>
  <c r="AD17" i="8" s="1"/>
  <c r="AE15" i="8" a="1"/>
  <c r="AE15" i="8" s="1"/>
  <c r="AD12" i="8" a="1"/>
  <c r="AD12" i="8" s="1"/>
  <c r="E13" i="8" a="1"/>
  <c r="E13" i="8" s="1"/>
  <c r="Z60" i="8" a="1"/>
  <c r="Z60" i="8" s="1"/>
  <c r="AB57" i="8" a="1"/>
  <c r="AB57" i="8" s="1"/>
  <c r="Z43" i="8" a="1"/>
  <c r="Z43" i="8" s="1"/>
  <c r="Z41" i="8" a="1"/>
  <c r="Z41" i="8" s="1"/>
  <c r="J24" i="8" a="1"/>
  <c r="J24" i="8" s="1"/>
  <c r="M34" i="8" a="1"/>
  <c r="M34" i="8" s="1"/>
  <c r="K34" i="8" a="1"/>
  <c r="K34" i="8" s="1"/>
  <c r="K38" i="8" a="1"/>
  <c r="K38" i="8" s="1"/>
  <c r="F42" i="8" a="1"/>
  <c r="F42" i="8" s="1"/>
  <c r="U24" i="8" a="1"/>
  <c r="U24" i="8" s="1"/>
  <c r="X63" i="8" a="1"/>
  <c r="X63" i="8" s="1"/>
  <c r="AB50" i="8" a="1"/>
  <c r="AB50" i="8" s="1"/>
  <c r="AA50" i="8" a="1"/>
  <c r="AA50" i="8" s="1"/>
  <c r="U22" i="8" a="1"/>
  <c r="U22" i="8" s="1"/>
  <c r="H50" i="8" a="1"/>
  <c r="H50" i="8" s="1"/>
  <c r="E32" i="8" a="1"/>
  <c r="E32" i="8" s="1"/>
  <c r="Q44" i="8" a="1"/>
  <c r="Q44" i="8" s="1"/>
  <c r="G44" i="8" a="1"/>
  <c r="G44" i="8" s="1"/>
  <c r="L30" i="8" a="1"/>
  <c r="L30" i="8" s="1"/>
  <c r="E44" i="8" a="1"/>
  <c r="E44" i="8" s="1"/>
  <c r="M62" i="8" a="1"/>
  <c r="M62" i="8" s="1"/>
  <c r="S11" i="8" a="1"/>
  <c r="S11" i="8" s="1"/>
  <c r="Q28" i="8" a="1"/>
  <c r="Q28" i="8" s="1"/>
  <c r="Y41" i="8" a="1"/>
  <c r="Y41" i="8" s="1"/>
  <c r="G48" i="8" a="1"/>
  <c r="G48" i="8" s="1"/>
  <c r="V47" i="8" a="1"/>
  <c r="V47" i="8" s="1"/>
  <c r="S37" i="8" a="1"/>
  <c r="S37" i="8" s="1"/>
  <c r="L62" i="8" a="1"/>
  <c r="L62" i="8" s="1"/>
  <c r="X41" i="8" a="1"/>
  <c r="X41" i="8" s="1"/>
  <c r="K55" i="8" a="1"/>
  <c r="K55" i="8" s="1"/>
  <c r="O56" i="8" a="1"/>
  <c r="O56" i="8" s="1"/>
  <c r="F48" i="8" a="1"/>
  <c r="F48" i="8" s="1"/>
  <c r="U47" i="8" a="1"/>
  <c r="U47" i="8" s="1"/>
  <c r="F11" i="8" a="1"/>
  <c r="F11" i="8" s="1"/>
  <c r="P56" i="8" a="1"/>
  <c r="P56" i="8" s="1"/>
  <c r="G37" i="8" a="1"/>
  <c r="G37" i="8" s="1"/>
  <c r="L55" i="8" a="1"/>
  <c r="L55" i="8" s="1"/>
  <c r="G57" i="8" a="1"/>
  <c r="G57" i="8" s="1"/>
  <c r="E37" i="8" a="1"/>
  <c r="E37" i="8" s="1"/>
  <c r="K41" i="8" a="1"/>
  <c r="K41" i="8" s="1"/>
  <c r="S44" i="8" a="1"/>
  <c r="S44" i="8" s="1"/>
  <c r="F57" i="8" a="1"/>
  <c r="F57" i="8" s="1"/>
  <c r="M30" i="8" a="1"/>
  <c r="M30" i="8" s="1"/>
  <c r="Y59" i="8" a="1"/>
  <c r="Y59" i="8" s="1"/>
  <c r="S48" i="8" a="1"/>
  <c r="S48" i="8" s="1"/>
  <c r="J47" i="8" a="1"/>
  <c r="J47" i="8" s="1"/>
  <c r="X59" i="8" a="1"/>
  <c r="X59" i="8" s="1"/>
  <c r="R48" i="8" a="1"/>
  <c r="R48" i="8" s="1"/>
  <c r="I47" i="8" a="1"/>
  <c r="I47" i="8" s="1"/>
  <c r="F11" i="6" a="1"/>
  <c r="F11" i="6" s="1"/>
  <c r="H11" i="6" a="1"/>
  <c r="H11" i="6" s="1"/>
  <c r="I50" i="8" a="1"/>
  <c r="I50" i="8" s="1"/>
  <c r="H7" i="6" a="1"/>
  <c r="H7" i="6" s="1"/>
  <c r="T49" i="8" a="1"/>
  <c r="T49" i="8" s="1"/>
  <c r="T51" i="8" a="1"/>
  <c r="T51" i="8" s="1"/>
  <c r="AC10" i="8" a="1"/>
  <c r="AC10" i="8" s="1"/>
  <c r="AD21" i="8" a="1"/>
  <c r="AD21" i="8" s="1"/>
  <c r="AC14" i="8" a="1"/>
  <c r="AC14" i="8" s="1"/>
  <c r="AC20" i="8" a="1"/>
  <c r="AC20" i="8" s="1"/>
  <c r="AC18" i="8" a="1"/>
  <c r="AC18" i="8" s="1"/>
  <c r="AE36" i="8" a="1"/>
  <c r="AE36" i="8" s="1"/>
  <c r="AE17" i="8" a="1"/>
  <c r="AE17" i="8" s="1"/>
  <c r="AD35" i="8" a="1"/>
  <c r="AD35" i="8" s="1"/>
  <c r="AE13" i="8" a="1"/>
  <c r="AE13" i="8" s="1"/>
  <c r="AC34" i="8" a="1"/>
  <c r="AC34" i="8" s="1"/>
  <c r="AC27" i="8" a="1"/>
  <c r="AC27" i="8" s="1"/>
  <c r="AE32" i="8" a="1"/>
  <c r="AE32" i="8" s="1"/>
  <c r="AE25" i="8" a="1"/>
  <c r="AE25" i="8" s="1"/>
  <c r="AE42" i="8" a="1"/>
  <c r="AE42" i="8" s="1"/>
  <c r="AE24" i="8" a="1"/>
  <c r="AE24" i="8" s="1"/>
  <c r="AD53" i="8" a="1"/>
  <c r="AD53" i="8" s="1"/>
  <c r="AC17" i="8" a="1"/>
  <c r="AC17" i="8" s="1"/>
  <c r="AD10" i="8" a="1"/>
  <c r="AD10" i="8" s="1"/>
  <c r="AD15" i="8" a="1"/>
  <c r="AD15" i="8" s="1"/>
  <c r="AD11" i="8" a="1"/>
  <c r="AD11" i="8" s="1"/>
  <c r="AE26" i="8" a="1"/>
  <c r="AE26" i="8" s="1"/>
  <c r="AD24" i="8" a="1"/>
  <c r="AD24" i="8" s="1"/>
  <c r="AD22" i="8" a="1"/>
  <c r="AD22" i="8" s="1"/>
  <c r="AC28" i="8" a="1"/>
  <c r="AC28" i="8" s="1"/>
  <c r="AC35" i="8" a="1"/>
  <c r="AC35" i="8" s="1"/>
  <c r="AD32" i="8" a="1"/>
  <c r="AD32" i="8" s="1"/>
  <c r="AE29" i="8" a="1"/>
  <c r="AE29" i="8" s="1"/>
  <c r="AC45" i="8" a="1"/>
  <c r="AC45" i="8" s="1"/>
  <c r="AD42" i="8" a="1"/>
  <c r="AD42" i="8" s="1"/>
  <c r="AD40" i="8" a="1"/>
  <c r="AD40" i="8" s="1"/>
  <c r="AC46" i="8" a="1"/>
  <c r="AC46" i="8" s="1"/>
  <c r="AC53" i="8" a="1"/>
  <c r="AC53" i="8" s="1"/>
  <c r="AD50" i="8" a="1"/>
  <c r="AD50" i="8" s="1"/>
  <c r="AE47" i="8" a="1"/>
  <c r="AE47" i="8" s="1"/>
  <c r="AC63" i="8" a="1"/>
  <c r="AC63" i="8" s="1"/>
  <c r="AD60" i="8" a="1"/>
  <c r="AD60" i="8" s="1"/>
  <c r="AC58" i="8" a="1"/>
  <c r="AC58" i="8" s="1"/>
  <c r="AC16" i="8" a="1"/>
  <c r="AC16" i="8" s="1"/>
  <c r="AE14" i="8" a="1"/>
  <c r="AE14" i="8" s="1"/>
  <c r="AD18" i="8" a="1"/>
  <c r="AD18" i="8" s="1"/>
  <c r="AD26" i="8" a="1"/>
  <c r="AD26" i="8" s="1"/>
  <c r="AC22" i="8" a="1"/>
  <c r="AC22" i="8" s="1"/>
  <c r="AD28" i="8" a="1"/>
  <c r="AD28" i="8" s="1"/>
  <c r="AE34" i="8" a="1"/>
  <c r="AE34" i="8" s="1"/>
  <c r="AD29" i="8" a="1"/>
  <c r="AD29" i="8" s="1"/>
  <c r="AE44" i="8" a="1"/>
  <c r="AE44" i="8" s="1"/>
  <c r="AC40" i="8" a="1"/>
  <c r="AC40" i="8" s="1"/>
  <c r="AD46" i="8" a="1"/>
  <c r="AD46" i="8" s="1"/>
  <c r="AE52" i="8" a="1"/>
  <c r="AE52" i="8" s="1"/>
  <c r="AC50" i="8" a="1"/>
  <c r="AC50" i="8" s="1"/>
  <c r="AD47" i="8" a="1"/>
  <c r="AD47" i="8" s="1"/>
  <c r="AE62" i="8" a="1"/>
  <c r="AE62" i="8" s="1"/>
  <c r="AC60" i="8" a="1"/>
  <c r="AC60" i="8" s="1"/>
  <c r="AE57" i="8" a="1"/>
  <c r="AE57" i="8" s="1"/>
  <c r="AC15" i="8" a="1"/>
  <c r="AC15" i="8" s="1"/>
  <c r="AC19" i="8" a="1"/>
  <c r="AC19" i="8" s="1"/>
  <c r="AE21" i="8" a="1"/>
  <c r="AE21" i="8" s="1"/>
  <c r="AE31" i="8" a="1"/>
  <c r="AE31" i="8" s="1"/>
  <c r="AD44" i="8" a="1"/>
  <c r="AD44" i="8" s="1"/>
  <c r="AE39" i="8" a="1"/>
  <c r="AE39" i="8" s="1"/>
  <c r="AD52" i="8" a="1"/>
  <c r="AD52" i="8" s="1"/>
  <c r="AE49" i="8" a="1"/>
  <c r="AE49" i="8" s="1"/>
  <c r="AD62" i="8" a="1"/>
  <c r="AD62" i="8" s="1"/>
  <c r="AE59" i="8" a="1"/>
  <c r="AE59" i="8" s="1"/>
  <c r="AD57" i="8" a="1"/>
  <c r="AD57" i="8" s="1"/>
  <c r="AD19" i="8" a="1"/>
  <c r="AD19" i="8" s="1"/>
  <c r="AE23" i="8" a="1"/>
  <c r="AE23" i="8" s="1"/>
  <c r="AD31" i="8" a="1"/>
  <c r="AD31" i="8" s="1"/>
  <c r="AC37" i="8" a="1"/>
  <c r="AC37" i="8" s="1"/>
  <c r="AE41" i="8" a="1"/>
  <c r="AE41" i="8" s="1"/>
  <c r="AD39" i="8" a="1"/>
  <c r="AD39" i="8" s="1"/>
  <c r="AE54" i="8" a="1"/>
  <c r="AE54" i="8" s="1"/>
  <c r="AD49" i="8" a="1"/>
  <c r="AD49" i="8" s="1"/>
  <c r="AC55" i="8" a="1"/>
  <c r="AC55" i="8" s="1"/>
  <c r="AD59" i="8" a="1"/>
  <c r="AD59" i="8" s="1"/>
  <c r="AC13" i="8" a="1"/>
  <c r="AC13" i="8" s="1"/>
  <c r="AD25" i="8" a="1"/>
  <c r="AD25" i="8" s="1"/>
  <c r="AD23" i="8" a="1"/>
  <c r="AD23" i="8" s="1"/>
  <c r="AD36" i="8" a="1"/>
  <c r="AD36" i="8" s="1"/>
  <c r="AE33" i="8" a="1"/>
  <c r="AE33" i="8" s="1"/>
  <c r="AD37" i="8" a="1"/>
  <c r="AD37" i="8" s="1"/>
  <c r="AE43" i="8" a="1"/>
  <c r="AE43" i="8" s="1"/>
  <c r="AD41" i="8" a="1"/>
  <c r="AD41" i="8" s="1"/>
  <c r="AD54" i="8" a="1"/>
  <c r="AD54" i="8" s="1"/>
  <c r="AE51" i="8" a="1"/>
  <c r="AE51" i="8" s="1"/>
  <c r="AD55" i="8" a="1"/>
  <c r="AD55" i="8" s="1"/>
  <c r="AE61" i="8" a="1"/>
  <c r="AE61" i="8" s="1"/>
  <c r="AC12" i="8" a="1"/>
  <c r="AC12" i="8" s="1"/>
  <c r="AE16" i="8" a="1"/>
  <c r="AE16" i="8" s="1"/>
  <c r="AE12" i="8" a="1"/>
  <c r="AE12" i="8" s="1"/>
  <c r="AE27" i="8" a="1"/>
  <c r="AE27" i="8" s="1"/>
  <c r="AE20" i="8" a="1"/>
  <c r="AE20" i="8" s="1"/>
  <c r="AD33" i="8" a="1"/>
  <c r="AD33" i="8" s="1"/>
  <c r="AE30" i="8" a="1"/>
  <c r="AE30" i="8" s="1"/>
  <c r="AD43" i="8" a="1"/>
  <c r="AD43" i="8" s="1"/>
  <c r="AE38" i="8" a="1"/>
  <c r="AE38" i="8" s="1"/>
  <c r="AD51" i="8" a="1"/>
  <c r="AD51" i="8" s="1"/>
  <c r="AE48" i="8" a="1"/>
  <c r="AE48" i="8" s="1"/>
  <c r="AD61" i="8" a="1"/>
  <c r="AD61" i="8" s="1"/>
  <c r="AE58" i="8" a="1"/>
  <c r="AE58" i="8" s="1"/>
  <c r="AE56" i="8" a="1"/>
  <c r="AE56" i="8" s="1"/>
  <c r="AC11" i="8" a="1"/>
  <c r="AC11" i="8" s="1"/>
  <c r="AD30" i="8" a="1"/>
  <c r="AD30" i="8" s="1"/>
  <c r="AE45" i="8" a="1"/>
  <c r="AE45" i="8" s="1"/>
  <c r="AD38" i="8" a="1"/>
  <c r="AD38" i="8" s="1"/>
  <c r="AD48" i="8" a="1"/>
  <c r="AD48" i="8" s="1"/>
  <c r="AE63" i="8" a="1"/>
  <c r="AE63" i="8" s="1"/>
  <c r="AD56" i="8" a="1"/>
  <c r="AD56" i="8" s="1"/>
  <c r="E43" i="6" a="1"/>
  <c r="E43" i="6" s="1"/>
  <c r="G11" i="6" a="1"/>
  <c r="G11" i="6" s="1"/>
  <c r="E44" i="6" a="1"/>
  <c r="E44" i="6" s="1"/>
  <c r="F43" i="6" a="1"/>
  <c r="F43" i="6" s="1"/>
  <c r="H12" i="6" a="1"/>
  <c r="H12" i="6" s="1"/>
  <c r="G43" i="6" a="1"/>
  <c r="G43" i="6" s="1"/>
  <c r="G12" i="6" a="1"/>
  <c r="G12" i="6" s="1"/>
  <c r="F12" i="6" a="1"/>
  <c r="F12" i="6" s="1"/>
  <c r="E11" i="6" a="1"/>
  <c r="E11" i="6" s="1"/>
  <c r="I22" i="8" a="1"/>
  <c r="I22" i="8" s="1"/>
  <c r="J8" i="6" a="1"/>
  <c r="J8" i="6" s="1"/>
  <c r="J4" i="6" a="1"/>
  <c r="J4" i="6" s="1"/>
  <c r="E4" i="6" a="1"/>
  <c r="E4" i="6" s="1"/>
  <c r="F4" i="6" a="1"/>
  <c r="F4" i="6" s="1"/>
  <c r="G4" i="6" a="1"/>
  <c r="G4" i="6" s="1"/>
  <c r="J7" i="6" a="1"/>
  <c r="J7" i="6" s="1"/>
  <c r="J3" i="6" a="1"/>
  <c r="J3" i="6" s="1"/>
  <c r="G3" i="6" a="1"/>
  <c r="G3" i="6" s="1"/>
  <c r="F3" i="6" a="1"/>
  <c r="F3" i="6" s="1"/>
  <c r="E3" i="6" a="1"/>
  <c r="E3" i="6" s="1"/>
  <c r="J22" i="8" a="1"/>
  <c r="J22" i="8" s="1"/>
  <c r="U38" i="8" a="1"/>
  <c r="U38" i="8" s="1"/>
  <c r="N46" i="8" a="1"/>
  <c r="N46" i="8" s="1"/>
  <c r="V52" i="8" a="1"/>
  <c r="V52" i="8" s="1"/>
  <c r="J50" i="8" a="1"/>
  <c r="J50" i="8" s="1"/>
  <c r="Y35" i="8" a="1"/>
  <c r="Y35" i="8" s="1"/>
  <c r="O46" i="8" a="1"/>
  <c r="O46" i="8" s="1"/>
  <c r="S39" i="8" a="1"/>
  <c r="S39" i="8" s="1"/>
  <c r="E39" i="8" a="1"/>
  <c r="E39" i="8" s="1"/>
  <c r="L47" i="8" a="1"/>
  <c r="L47" i="8" s="1"/>
  <c r="L39" i="8" a="1"/>
  <c r="L39" i="8" s="1"/>
  <c r="W63" i="8" a="1"/>
  <c r="W63" i="8" s="1"/>
  <c r="R13" i="8" a="1"/>
  <c r="R13" i="8" s="1"/>
  <c r="W34" i="8" a="1"/>
  <c r="W34" i="8" s="1"/>
  <c r="P38" i="8" a="1"/>
  <c r="P38" i="8" s="1"/>
  <c r="AB62" i="8" a="1"/>
  <c r="AB62" i="8" s="1"/>
  <c r="S58" i="8" a="1"/>
  <c r="S58" i="8" s="1"/>
  <c r="Q17" i="8" a="1"/>
  <c r="Q17" i="8" s="1"/>
  <c r="S13" i="8" a="1"/>
  <c r="S13" i="8" s="1"/>
  <c r="Y34" i="8" a="1"/>
  <c r="Y34" i="8" s="1"/>
  <c r="Y39" i="8" a="1"/>
  <c r="Y39" i="8" s="1"/>
  <c r="O38" i="8" a="1"/>
  <c r="O38" i="8" s="1"/>
  <c r="AA62" i="8" a="1"/>
  <c r="AA62" i="8" s="1"/>
  <c r="G61" i="8" a="1"/>
  <c r="G61" i="8" s="1"/>
  <c r="R58" i="8" a="1"/>
  <c r="R58" i="8" s="1"/>
  <c r="Y56" i="8" a="1"/>
  <c r="Y56" i="8" s="1"/>
  <c r="X39" i="8" a="1"/>
  <c r="X39" i="8" s="1"/>
  <c r="F61" i="8" a="1"/>
  <c r="F61" i="8" s="1"/>
  <c r="M60" i="8" a="1"/>
  <c r="M60" i="8" s="1"/>
  <c r="X56" i="8" a="1"/>
  <c r="X56" i="8" s="1"/>
  <c r="V51" i="8" a="1"/>
  <c r="V51" i="8" s="1"/>
  <c r="K47" i="8" a="1"/>
  <c r="K47" i="8" s="1"/>
  <c r="L29" i="8" a="1"/>
  <c r="L29" i="8" s="1"/>
  <c r="N35" i="8" a="1"/>
  <c r="N35" i="8" s="1"/>
  <c r="G34" i="8" a="1"/>
  <c r="G34" i="8" s="1"/>
  <c r="L60" i="8" a="1"/>
  <c r="L60" i="8" s="1"/>
  <c r="G52" i="8" a="1"/>
  <c r="G52" i="8" s="1"/>
  <c r="X54" i="8" a="1"/>
  <c r="X54" i="8" s="1"/>
  <c r="N53" i="8" a="1"/>
  <c r="N53" i="8" s="1"/>
  <c r="L36" i="8" a="1"/>
  <c r="L36" i="8" s="1"/>
  <c r="M15" i="8" a="1"/>
  <c r="M15" i="8" s="1"/>
  <c r="Q31" i="8" a="1"/>
  <c r="Q31" i="8" s="1"/>
  <c r="W54" i="8" a="1"/>
  <c r="W54" i="8" s="1"/>
  <c r="O48" i="8" a="1"/>
  <c r="O48" i="8" s="1"/>
  <c r="G8" i="6" a="1"/>
  <c r="G8" i="6" s="1"/>
  <c r="AA13" i="8" a="1"/>
  <c r="AA13" i="8" s="1"/>
  <c r="G67" i="6" a="1"/>
  <c r="G67" i="6" s="1"/>
  <c r="F67" i="6" a="1"/>
  <c r="F67" i="6" s="1"/>
  <c r="E67" i="6" a="1"/>
  <c r="E67" i="6" s="1"/>
  <c r="G55" i="6" a="1"/>
  <c r="G55" i="6" s="1"/>
  <c r="F55" i="6" a="1"/>
  <c r="F55" i="6" s="1"/>
  <c r="E55" i="6" a="1"/>
  <c r="E55" i="6" s="1"/>
  <c r="Z23" i="8" a="1"/>
  <c r="Z23" i="8" s="1"/>
  <c r="G63" i="6" a="1"/>
  <c r="G63" i="6" s="1"/>
  <c r="F63" i="6" a="1"/>
  <c r="F63" i="6" s="1"/>
  <c r="E63" i="6" a="1"/>
  <c r="E63" i="6" s="1"/>
  <c r="O24" i="8" a="1"/>
  <c r="O24" i="8" s="1"/>
  <c r="G27" i="6" a="1"/>
  <c r="G27" i="6" s="1"/>
  <c r="F27" i="6" a="1"/>
  <c r="F27" i="6" s="1"/>
  <c r="E27" i="6" a="1"/>
  <c r="E27" i="6" s="1"/>
  <c r="N23" i="8" a="1"/>
  <c r="N23" i="8" s="1"/>
  <c r="G31" i="6" a="1"/>
  <c r="G31" i="6" s="1"/>
  <c r="F31" i="6" a="1"/>
  <c r="F31" i="6" s="1"/>
  <c r="E31" i="6" a="1"/>
  <c r="E31" i="6" s="1"/>
  <c r="Z40" i="8" a="1"/>
  <c r="Z40" i="8" s="1"/>
  <c r="E68" i="6" a="1"/>
  <c r="E68" i="6" s="1"/>
  <c r="F68" i="6" a="1"/>
  <c r="F68" i="6" s="1"/>
  <c r="G68" i="6" a="1"/>
  <c r="G68" i="6" s="1"/>
  <c r="E56" i="6" a="1"/>
  <c r="E56" i="6" s="1"/>
  <c r="F56" i="6" a="1"/>
  <c r="F56" i="6" s="1"/>
  <c r="G56" i="6" a="1"/>
  <c r="G56" i="6" s="1"/>
  <c r="Z12" i="8" a="1"/>
  <c r="Z12" i="8" s="1"/>
  <c r="G71" i="6" a="1"/>
  <c r="G71" i="6" s="1"/>
  <c r="F71" i="6" a="1"/>
  <c r="F71" i="6" s="1"/>
  <c r="E71" i="6" a="1"/>
  <c r="E71" i="6" s="1"/>
  <c r="G35" i="6" a="1"/>
  <c r="G35" i="6" s="1"/>
  <c r="F35" i="6" a="1"/>
  <c r="F35" i="6" s="1"/>
  <c r="G39" i="6" a="1"/>
  <c r="G39" i="6" s="1"/>
  <c r="F39" i="6" a="1"/>
  <c r="F39" i="6" s="1"/>
  <c r="AA39" i="8" a="1"/>
  <c r="AA39" i="8" s="1"/>
  <c r="E72" i="6" a="1"/>
  <c r="E72" i="6" s="1"/>
  <c r="F72" i="6" a="1"/>
  <c r="F72" i="6" s="1"/>
  <c r="G72" i="6" a="1"/>
  <c r="G72" i="6" s="1"/>
  <c r="E36" i="6" a="1"/>
  <c r="E36" i="6" s="1"/>
  <c r="F36" i="6" a="1"/>
  <c r="F36" i="6" s="1"/>
  <c r="G36" i="6" a="1"/>
  <c r="G36" i="6" s="1"/>
  <c r="E40" i="6" a="1"/>
  <c r="E40" i="6" s="1"/>
  <c r="F40" i="6" a="1"/>
  <c r="F40" i="6" s="1"/>
  <c r="G40" i="6" a="1"/>
  <c r="G40" i="6" s="1"/>
  <c r="Z24" i="8" a="1"/>
  <c r="Z24" i="8" s="1"/>
  <c r="G59" i="6" a="1"/>
  <c r="G59" i="6" s="1"/>
  <c r="F59" i="6" a="1"/>
  <c r="F59" i="6" s="1"/>
  <c r="E59" i="6" a="1"/>
  <c r="E59" i="6" s="1"/>
  <c r="U23" i="8" a="1"/>
  <c r="U23" i="8" s="1"/>
  <c r="G47" i="6" a="1"/>
  <c r="G47" i="6" s="1"/>
  <c r="F47" i="6" a="1"/>
  <c r="F47" i="6" s="1"/>
  <c r="E47" i="6" a="1"/>
  <c r="E47" i="6" s="1"/>
  <c r="Z51" i="8" a="1"/>
  <c r="Z51" i="8" s="1"/>
  <c r="E60" i="6" a="1"/>
  <c r="E60" i="6" s="1"/>
  <c r="F60" i="6" a="1"/>
  <c r="F60" i="6" s="1"/>
  <c r="G60" i="6" a="1"/>
  <c r="G60" i="6" s="1"/>
  <c r="Z50" i="8" a="1"/>
  <c r="Z50" i="8" s="1"/>
  <c r="E64" i="6" a="1"/>
  <c r="E64" i="6" s="1"/>
  <c r="F64" i="6" a="1"/>
  <c r="F64" i="6" s="1"/>
  <c r="G64" i="6" a="1"/>
  <c r="G64" i="6" s="1"/>
  <c r="P51" i="8" a="1"/>
  <c r="P51" i="8" s="1"/>
  <c r="E28" i="6" a="1"/>
  <c r="E28" i="6" s="1"/>
  <c r="F28" i="6" a="1"/>
  <c r="F28" i="6" s="1"/>
  <c r="G28" i="6" a="1"/>
  <c r="G28" i="6" s="1"/>
  <c r="T50" i="8" a="1"/>
  <c r="T50" i="8" s="1"/>
  <c r="E48" i="6" a="1"/>
  <c r="E48" i="6" s="1"/>
  <c r="F48" i="6" a="1"/>
  <c r="F48" i="6" s="1"/>
  <c r="G48" i="6" a="1"/>
  <c r="G48" i="6" s="1"/>
  <c r="N50" i="8" a="1"/>
  <c r="N50" i="8" s="1"/>
  <c r="E32" i="6" a="1"/>
  <c r="E32" i="6" s="1"/>
  <c r="F32" i="6" a="1"/>
  <c r="F32" i="6" s="1"/>
  <c r="G32" i="6" a="1"/>
  <c r="G32" i="6" s="1"/>
  <c r="L12" i="8" a="1"/>
  <c r="L12" i="8" s="1"/>
  <c r="E11" i="8" a="1"/>
  <c r="E11" i="8" s="1"/>
  <c r="R28" i="8" a="1"/>
  <c r="R28" i="8" s="1"/>
  <c r="R39" i="8" a="1"/>
  <c r="R39" i="8" s="1"/>
  <c r="T38" i="8" a="1"/>
  <c r="T38" i="8" s="1"/>
  <c r="X60" i="8" a="1"/>
  <c r="X60" i="8" s="1"/>
  <c r="Q54" i="8" a="1"/>
  <c r="Q54" i="8" s="1"/>
  <c r="I46" i="8" a="1"/>
  <c r="I46" i="8" s="1"/>
  <c r="V29" i="8" a="1"/>
  <c r="V29" i="8" s="1"/>
  <c r="J38" i="8" a="1"/>
  <c r="J38" i="8" s="1"/>
  <c r="M63" i="8" a="1"/>
  <c r="M63" i="8" s="1"/>
  <c r="P62" i="8" a="1"/>
  <c r="P62" i="8" s="1"/>
  <c r="U46" i="8" a="1"/>
  <c r="U46" i="8" s="1"/>
  <c r="U29" i="8" a="1"/>
  <c r="U29" i="8" s="1"/>
  <c r="I38" i="8" a="1"/>
  <c r="I38" i="8" s="1"/>
  <c r="L63" i="8" a="1"/>
  <c r="L63" i="8" s="1"/>
  <c r="O62" i="8" a="1"/>
  <c r="O62" i="8" s="1"/>
  <c r="AB17" i="8" a="1"/>
  <c r="AB17" i="8" s="1"/>
  <c r="I20" i="8" a="1"/>
  <c r="I20" i="8" s="1"/>
  <c r="G14" i="8" a="1"/>
  <c r="G14" i="8" s="1"/>
  <c r="AA17" i="8" a="1"/>
  <c r="AA17" i="8" s="1"/>
  <c r="S35" i="8" a="1"/>
  <c r="S35" i="8" s="1"/>
  <c r="AB38" i="8" a="1"/>
  <c r="AB38" i="8" s="1"/>
  <c r="S61" i="8" a="1"/>
  <c r="S61" i="8" s="1"/>
  <c r="G58" i="8" a="1"/>
  <c r="G58" i="8" s="1"/>
  <c r="AB51" i="8" a="1"/>
  <c r="AB51" i="8" s="1"/>
  <c r="AA38" i="8" a="1"/>
  <c r="AA38" i="8" s="1"/>
  <c r="R61" i="8" a="1"/>
  <c r="R61" i="8" s="1"/>
  <c r="F58" i="8" a="1"/>
  <c r="F58" i="8" s="1"/>
  <c r="F14" i="8" a="1"/>
  <c r="F14" i="8" s="1"/>
  <c r="R35" i="8" a="1"/>
  <c r="R35" i="8" s="1"/>
  <c r="Y32" i="8" a="1"/>
  <c r="Y32" i="8" s="1"/>
  <c r="G32" i="8" a="1"/>
  <c r="G32" i="8" s="1"/>
  <c r="G39" i="8" a="1"/>
  <c r="G39" i="8" s="1"/>
  <c r="I27" i="8" a="1"/>
  <c r="I27" i="8" s="1"/>
  <c r="AB37" i="8" a="1"/>
  <c r="AB37" i="8" s="1"/>
  <c r="G47" i="8" a="1"/>
  <c r="G47" i="8" s="1"/>
  <c r="N52" i="8" a="1"/>
  <c r="N52" i="8" s="1"/>
  <c r="Z49" i="8" a="1"/>
  <c r="Z49" i="8" s="1"/>
  <c r="F47" i="8" a="1"/>
  <c r="F47" i="8" s="1"/>
  <c r="S54" i="8" a="1"/>
  <c r="S54" i="8" s="1"/>
  <c r="V49" i="8" a="1"/>
  <c r="V49" i="8" s="1"/>
  <c r="X51" i="8" a="1"/>
  <c r="X51" i="8" s="1"/>
  <c r="W47" i="8" a="1"/>
  <c r="W47" i="8" s="1"/>
  <c r="I53" i="8" a="1"/>
  <c r="I53" i="8" s="1"/>
  <c r="E8" i="6" a="1"/>
  <c r="E8" i="6" s="1"/>
  <c r="G54" i="8" a="1"/>
  <c r="G54" i="8" s="1"/>
  <c r="M51" i="8" a="1"/>
  <c r="M51" i="8" s="1"/>
  <c r="F54" i="8" a="1"/>
  <c r="F54" i="8" s="1"/>
  <c r="P52" i="8" a="1"/>
  <c r="P52" i="8" s="1"/>
  <c r="L51" i="8" a="1"/>
  <c r="L51" i="8" s="1"/>
  <c r="S47" i="8" a="1"/>
  <c r="S47" i="8" s="1"/>
  <c r="AB49" i="8" a="1"/>
  <c r="AB49" i="8" s="1"/>
  <c r="U53" i="8" a="1"/>
  <c r="U53" i="8" s="1"/>
  <c r="Q52" i="8" a="1"/>
  <c r="Q52" i="8" s="1"/>
  <c r="P50" i="8" a="1"/>
  <c r="P50" i="8" s="1"/>
  <c r="J51" i="8" a="1"/>
  <c r="J51" i="8" s="1"/>
  <c r="O50" i="8" a="1"/>
  <c r="O50" i="8" s="1"/>
  <c r="L56" i="8" a="1"/>
  <c r="L56" i="8" s="1"/>
  <c r="V46" i="8" a="1"/>
  <c r="V46" i="8" s="1"/>
  <c r="I51" i="8" a="1"/>
  <c r="I51" i="8" s="1"/>
  <c r="F7" i="6" a="1"/>
  <c r="F7" i="6" s="1"/>
  <c r="R47" i="8" a="1"/>
  <c r="R47" i="8" s="1"/>
  <c r="H46" i="8" a="1"/>
  <c r="H46" i="8" s="1"/>
  <c r="G7" i="6" a="1"/>
  <c r="G7" i="6" s="1"/>
  <c r="G49" i="8" a="1"/>
  <c r="G49" i="8" s="1"/>
  <c r="AA51" i="8" a="1"/>
  <c r="AA51" i="8" s="1"/>
  <c r="K17" i="8" a="1"/>
  <c r="K17" i="8" s="1"/>
  <c r="M56" i="8" a="1"/>
  <c r="M56" i="8" s="1"/>
  <c r="S49" i="8" a="1"/>
  <c r="S49" i="8" s="1"/>
  <c r="X47" i="8" a="1"/>
  <c r="X47" i="8" s="1"/>
  <c r="Q49" i="8" a="1"/>
  <c r="Q49" i="8" s="1"/>
  <c r="Y52" i="8" a="1"/>
  <c r="Y52" i="8" s="1"/>
  <c r="T53" i="8" a="1"/>
  <c r="T53" i="8" s="1"/>
  <c r="X52" i="8" a="1"/>
  <c r="X52" i="8" s="1"/>
  <c r="K52" i="8" a="1"/>
  <c r="K52" i="8" s="1"/>
  <c r="F49" i="8" a="1"/>
  <c r="F49" i="8" s="1"/>
  <c r="M52" i="8" a="1"/>
  <c r="M52" i="8" s="1"/>
  <c r="J54" i="8" a="1"/>
  <c r="J54" i="8" s="1"/>
  <c r="I54" i="8" a="1"/>
  <c r="I54" i="8" s="1"/>
  <c r="E7" i="6" a="1"/>
  <c r="E7" i="6" s="1"/>
  <c r="J53" i="8" a="1"/>
  <c r="J53" i="8" s="1"/>
  <c r="F8" i="6" a="1"/>
  <c r="F8" i="6" s="1"/>
  <c r="W36" i="8" a="1"/>
  <c r="W36" i="8" s="1"/>
  <c r="S42" i="8" a="1"/>
  <c r="S42" i="8" s="1"/>
  <c r="X29" i="8" a="1"/>
  <c r="X29" i="8" s="1"/>
  <c r="M31" i="8" a="1"/>
  <c r="M31" i="8" s="1"/>
  <c r="P35" i="8" a="1"/>
  <c r="P35" i="8" s="1"/>
  <c r="S31" i="8" a="1"/>
  <c r="S31" i="8" s="1"/>
  <c r="W29" i="8" a="1"/>
  <c r="W29" i="8" s="1"/>
  <c r="L31" i="8" a="1"/>
  <c r="L31" i="8" s="1"/>
  <c r="G36" i="8" a="1"/>
  <c r="G36" i="8" s="1"/>
  <c r="E34" i="8" a="1"/>
  <c r="E34" i="8" s="1"/>
  <c r="X45" i="8" a="1"/>
  <c r="X45" i="8" s="1"/>
  <c r="I44" i="8" a="1"/>
  <c r="I44" i="8" s="1"/>
  <c r="X43" i="8" a="1"/>
  <c r="X43" i="8" s="1"/>
  <c r="Q42" i="8" a="1"/>
  <c r="Q42" i="8" s="1"/>
  <c r="X38" i="8" a="1"/>
  <c r="X38" i="8" s="1"/>
  <c r="R62" i="8" a="1"/>
  <c r="R62" i="8" s="1"/>
  <c r="J35" i="8" a="1"/>
  <c r="J35" i="8" s="1"/>
  <c r="I25" i="8" a="1"/>
  <c r="I25" i="8" s="1"/>
  <c r="M36" i="8" a="1"/>
  <c r="M36" i="8" s="1"/>
  <c r="F36" i="8" a="1"/>
  <c r="F36" i="8" s="1"/>
  <c r="G29" i="8" a="1"/>
  <c r="G29" i="8" s="1"/>
  <c r="W45" i="8" a="1"/>
  <c r="W45" i="8" s="1"/>
  <c r="W43" i="8" a="1"/>
  <c r="W43" i="8" s="1"/>
  <c r="W38" i="8" a="1"/>
  <c r="W38" i="8" s="1"/>
  <c r="Q55" i="8" a="1"/>
  <c r="Q55" i="8" s="1"/>
  <c r="M59" i="8" a="1"/>
  <c r="M59" i="8" s="1"/>
  <c r="S33" i="8" a="1"/>
  <c r="S33" i="8" s="1"/>
  <c r="F29" i="8" a="1"/>
  <c r="F29" i="8" s="1"/>
  <c r="W55" i="8" a="1"/>
  <c r="W55" i="8" s="1"/>
  <c r="M17" i="8" a="1"/>
  <c r="M17" i="8" s="1"/>
  <c r="X10" i="8" a="1"/>
  <c r="X10" i="8" s="1"/>
  <c r="Y55" i="8" a="1"/>
  <c r="Y55" i="8" s="1"/>
  <c r="M29" i="8" a="1"/>
  <c r="M29" i="8" s="1"/>
  <c r="M45" i="8" a="1"/>
  <c r="M45" i="8" s="1"/>
  <c r="S57" i="8" a="1"/>
  <c r="S57" i="8" s="1"/>
  <c r="S53" i="8" a="1"/>
  <c r="S53" i="8" s="1"/>
  <c r="E24" i="8" a="1"/>
  <c r="E24" i="8" s="1"/>
  <c r="R24" i="8" a="1"/>
  <c r="R24" i="8" s="1"/>
  <c r="U21" i="8" a="1"/>
  <c r="U21" i="8" s="1"/>
  <c r="T21" i="8" a="1"/>
  <c r="T21" i="8" s="1"/>
  <c r="F24" i="8" a="1"/>
  <c r="F24" i="8" s="1"/>
  <c r="AB19" i="8" a="1"/>
  <c r="AB19" i="8" s="1"/>
  <c r="Y27" i="8" a="1"/>
  <c r="Y27" i="8" s="1"/>
  <c r="S24" i="8" a="1"/>
  <c r="S24" i="8" s="1"/>
  <c r="Z48" i="8" a="1"/>
  <c r="Z48" i="8" s="1"/>
  <c r="S46" i="8" a="1"/>
  <c r="S46" i="8" s="1"/>
  <c r="F53" i="8" a="1"/>
  <c r="F53" i="8" s="1"/>
  <c r="Y46" i="8" a="1"/>
  <c r="Y46" i="8" s="1"/>
  <c r="S51" i="8" a="1"/>
  <c r="S51" i="8" s="1"/>
  <c r="R51" i="8" a="1"/>
  <c r="R51" i="8" s="1"/>
  <c r="N54" i="8" a="1"/>
  <c r="N54" i="8" s="1"/>
  <c r="E22" i="8" a="1"/>
  <c r="E22" i="8" s="1"/>
  <c r="M13" i="8" a="1"/>
  <c r="M13" i="8" s="1"/>
  <c r="L13" i="8" a="1"/>
  <c r="L13" i="8" s="1"/>
  <c r="W17" i="8" a="1"/>
  <c r="W17" i="8" s="1"/>
  <c r="Q10" i="8" a="1"/>
  <c r="Q10" i="8" s="1"/>
  <c r="S10" i="8" a="1"/>
  <c r="S10" i="8" s="1"/>
  <c r="AB29" i="8" a="1"/>
  <c r="AB29" i="8" s="1"/>
  <c r="M32" i="8" a="1"/>
  <c r="M32" i="8" s="1"/>
  <c r="K53" i="8" a="1"/>
  <c r="K53" i="8" s="1"/>
  <c r="L32" i="8" a="1"/>
  <c r="L32" i="8" s="1"/>
  <c r="AB26" i="8" a="1"/>
  <c r="AB26" i="8" s="1"/>
  <c r="G26" i="8" a="1"/>
  <c r="G26" i="8" s="1"/>
  <c r="E26" i="8" a="1"/>
  <c r="E26" i="8" s="1"/>
  <c r="S30" i="8" a="1"/>
  <c r="S30" i="8" s="1"/>
  <c r="N24" i="8" a="1"/>
  <c r="N24" i="8" s="1"/>
  <c r="L59" i="8" a="1"/>
  <c r="L59" i="8" s="1"/>
  <c r="R57" i="8" a="1"/>
  <c r="R57" i="8" s="1"/>
  <c r="AB56" i="8" a="1"/>
  <c r="AB56" i="8" s="1"/>
  <c r="O51" i="8" a="1"/>
  <c r="O51" i="8" s="1"/>
  <c r="F15" i="8" a="1"/>
  <c r="F15" i="8" s="1"/>
  <c r="X62" i="8" a="1"/>
  <c r="X62" i="8" s="1"/>
  <c r="AA56" i="8" a="1"/>
  <c r="AA56" i="8" s="1"/>
  <c r="X27" i="8" a="1"/>
  <c r="X27" i="8" s="1"/>
  <c r="M20" i="8" a="1"/>
  <c r="M20" i="8" s="1"/>
  <c r="Z53" i="8" a="1"/>
  <c r="Z53" i="8" s="1"/>
  <c r="L49" i="8" a="1"/>
  <c r="L49" i="8" s="1"/>
  <c r="K27" i="8" a="1"/>
  <c r="K27" i="8" s="1"/>
  <c r="L20" i="8" a="1"/>
  <c r="L20" i="8" s="1"/>
  <c r="G22" i="8" a="1"/>
  <c r="G22" i="8" s="1"/>
  <c r="V26" i="8" a="1"/>
  <c r="V26" i="8" s="1"/>
  <c r="L25" i="8" a="1"/>
  <c r="L25" i="8" s="1"/>
  <c r="U48" i="8" a="1"/>
  <c r="U48" i="8" s="1"/>
  <c r="F21" i="8" a="1"/>
  <c r="F21" i="8" s="1"/>
  <c r="M48" i="8" a="1"/>
  <c r="M48" i="8" s="1"/>
  <c r="F25" i="8" a="1"/>
  <c r="F25" i="8" s="1"/>
  <c r="N51" i="8" a="1"/>
  <c r="N51" i="8" s="1"/>
  <c r="T48" i="8" a="1"/>
  <c r="T48" i="8" s="1"/>
  <c r="L48" i="8" a="1"/>
  <c r="L48" i="8" s="1"/>
  <c r="Z46" i="8" a="1"/>
  <c r="Z46" i="8" s="1"/>
  <c r="Y48" i="8" a="1"/>
  <c r="Y48" i="8" s="1"/>
  <c r="P47" i="8" a="1"/>
  <c r="P47" i="8" s="1"/>
  <c r="AA46" i="8" a="1"/>
  <c r="AA46" i="8" s="1"/>
  <c r="X48" i="8" a="1"/>
  <c r="X48" i="8" s="1"/>
  <c r="AB53" i="8" a="1"/>
  <c r="AB53" i="8" s="1"/>
  <c r="Z26" i="8" a="1"/>
  <c r="Z26" i="8" s="1"/>
  <c r="AB27" i="8" a="1"/>
  <c r="AB27" i="8" s="1"/>
  <c r="V24" i="8" a="1"/>
  <c r="V24" i="8" s="1"/>
  <c r="Q46" i="8" a="1"/>
  <c r="Q46" i="8" s="1"/>
  <c r="R53" i="8" a="1"/>
  <c r="R53" i="8" s="1"/>
  <c r="W49" i="8" a="1"/>
  <c r="W49" i="8" s="1"/>
  <c r="Y20" i="8" a="1"/>
  <c r="Y20" i="8" s="1"/>
  <c r="O47" i="8" a="1"/>
  <c r="O47" i="8" s="1"/>
  <c r="Z19" i="8" a="1"/>
  <c r="Z19" i="8" s="1"/>
  <c r="M27" i="8" a="1"/>
  <c r="M27" i="8" s="1"/>
  <c r="P24" i="8" a="1"/>
  <c r="P24" i="8" s="1"/>
  <c r="X20" i="8" a="1"/>
  <c r="X20" i="8" s="1"/>
  <c r="E25" i="8" a="1"/>
  <c r="E25" i="8" s="1"/>
  <c r="P53" i="8" a="1"/>
  <c r="P53" i="8" s="1"/>
  <c r="S52" i="8" a="1"/>
  <c r="S52" i="8" s="1"/>
  <c r="K49" i="8" a="1"/>
  <c r="K49" i="8" s="1"/>
  <c r="N27" i="8" a="1"/>
  <c r="N27" i="8" s="1"/>
  <c r="T26" i="8" a="1"/>
  <c r="T26" i="8" s="1"/>
  <c r="F52" i="8" a="1"/>
  <c r="F52" i="8" s="1"/>
  <c r="U51" i="8" a="1"/>
  <c r="U51" i="8" s="1"/>
  <c r="AB54" i="8" a="1"/>
  <c r="AB54" i="8" s="1"/>
  <c r="AB47" i="8" a="1"/>
  <c r="AB47" i="8" s="1"/>
  <c r="AA54" i="8" a="1"/>
  <c r="AA54" i="8" s="1"/>
  <c r="Y49" i="8" a="1"/>
  <c r="Y49" i="8" s="1"/>
  <c r="AA47" i="8" a="1"/>
  <c r="AA47" i="8" s="1"/>
  <c r="J49" i="8" a="1"/>
  <c r="J49" i="8" s="1"/>
  <c r="S26" i="8" a="1"/>
  <c r="S26" i="8" s="1"/>
  <c r="L19" i="8" a="1"/>
  <c r="L19" i="8" s="1"/>
  <c r="AA14" i="8" a="1"/>
  <c r="AA14" i="8" s="1"/>
  <c r="K57" i="8" a="1"/>
  <c r="K57" i="8" s="1"/>
  <c r="W46" i="8" a="1"/>
  <c r="W46" i="8" s="1"/>
  <c r="P54" i="8" a="1"/>
  <c r="P54" i="8" s="1"/>
  <c r="M53" i="8" a="1"/>
  <c r="M53" i="8" s="1"/>
  <c r="Q50" i="8" a="1"/>
  <c r="Q50" i="8" s="1"/>
  <c r="W14" i="8" a="1"/>
  <c r="W14" i="8" s="1"/>
  <c r="Z14" i="8" a="1"/>
  <c r="Z14" i="8" s="1"/>
  <c r="K35" i="8" a="1"/>
  <c r="K35" i="8" s="1"/>
  <c r="S62" i="8" a="1"/>
  <c r="S62" i="8" s="1"/>
  <c r="M26" i="8" a="1"/>
  <c r="M26" i="8" s="1"/>
  <c r="L11" i="8" a="1"/>
  <c r="L11" i="8" s="1"/>
  <c r="AB43" i="8" a="1"/>
  <c r="AB43" i="8" s="1"/>
  <c r="L43" i="8" a="1"/>
  <c r="L43" i="8" s="1"/>
  <c r="F40" i="8" a="1"/>
  <c r="F40" i="8" s="1"/>
  <c r="Z61" i="8" a="1"/>
  <c r="Z61" i="8" s="1"/>
  <c r="G59" i="8" a="1"/>
  <c r="G59" i="8" s="1"/>
  <c r="V50" i="8" a="1"/>
  <c r="V50" i="8" s="1"/>
  <c r="G12" i="8" a="1"/>
  <c r="G12" i="8" s="1"/>
  <c r="K28" i="8" a="1"/>
  <c r="K28" i="8" s="1"/>
  <c r="F59" i="8" a="1"/>
  <c r="F59" i="8" s="1"/>
  <c r="K46" i="8" a="1"/>
  <c r="K46" i="8" s="1"/>
  <c r="Y53" i="8" a="1"/>
  <c r="Y53" i="8" s="1"/>
  <c r="U50" i="8" a="1"/>
  <c r="U50" i="8" s="1"/>
  <c r="F12" i="8" a="1"/>
  <c r="F12" i="8" s="1"/>
  <c r="V56" i="8" a="1"/>
  <c r="V56" i="8" s="1"/>
  <c r="G23" i="8" a="1"/>
  <c r="G23" i="8" s="1"/>
  <c r="T27" i="8" a="1"/>
  <c r="T27" i="8" s="1"/>
  <c r="Y26" i="8" a="1"/>
  <c r="Y26" i="8" s="1"/>
  <c r="L46" i="8" a="1"/>
  <c r="L46" i="8" s="1"/>
  <c r="G50" i="8" a="1"/>
  <c r="G50" i="8" s="1"/>
  <c r="X53" i="8" a="1"/>
  <c r="X53" i="8" s="1"/>
  <c r="J48" i="8" a="1"/>
  <c r="J48" i="8" s="1"/>
  <c r="R55" i="8" a="1"/>
  <c r="R55" i="8" s="1"/>
  <c r="M57" i="8" a="1"/>
  <c r="M57" i="8" s="1"/>
  <c r="U56" i="8" a="1"/>
  <c r="U56" i="8" s="1"/>
  <c r="F50" i="8" a="1"/>
  <c r="F50" i="8" s="1"/>
  <c r="S50" i="8" a="1"/>
  <c r="S50" i="8" s="1"/>
  <c r="I48" i="8" a="1"/>
  <c r="I48" i="8" s="1"/>
  <c r="Y14" i="8" a="1"/>
  <c r="Y14" i="8" s="1"/>
  <c r="K25" i="8" a="1"/>
  <c r="K25" i="8" s="1"/>
  <c r="T23" i="8" a="1"/>
  <c r="T23" i="8" s="1"/>
  <c r="G10" i="8" a="1"/>
  <c r="G10" i="8" s="1"/>
  <c r="F10" i="8" a="1"/>
  <c r="F10" i="8" s="1"/>
  <c r="E27" i="8" a="1"/>
  <c r="E27" i="8" s="1"/>
  <c r="AA25" i="8" a="1"/>
  <c r="AA25" i="8" s="1"/>
  <c r="O21" i="8" a="1"/>
  <c r="O21" i="8" s="1"/>
  <c r="L14" i="8" a="1"/>
  <c r="L14" i="8" s="1"/>
  <c r="X11" i="8" a="1"/>
  <c r="X11" i="8" s="1"/>
  <c r="L28" i="8" a="1"/>
  <c r="L28" i="8" s="1"/>
  <c r="W11" i="8" a="1"/>
  <c r="W11" i="8" s="1"/>
  <c r="K19" i="8" a="1"/>
  <c r="K19" i="8" s="1"/>
  <c r="U27" i="8" a="1"/>
  <c r="U27" i="8" s="1"/>
  <c r="N26" i="8" a="1"/>
  <c r="N26" i="8" s="1"/>
  <c r="O29" i="8" a="1"/>
  <c r="O29" i="8" s="1"/>
  <c r="R30" i="8" a="1"/>
  <c r="R30" i="8" s="1"/>
  <c r="M35" i="8" a="1"/>
  <c r="M35" i="8" s="1"/>
  <c r="F23" i="8" a="1"/>
  <c r="F23" i="8" s="1"/>
  <c r="X26" i="8" a="1"/>
  <c r="X26" i="8" s="1"/>
  <c r="L26" i="8" a="1"/>
  <c r="L26" i="8" s="1"/>
  <c r="W19" i="8" a="1"/>
  <c r="W19" i="8" s="1"/>
  <c r="X19" i="8" a="1"/>
  <c r="X19" i="8" s="1"/>
  <c r="M14" i="8" a="1"/>
  <c r="M14" i="8" s="1"/>
  <c r="AB25" i="8" a="1"/>
  <c r="AB25" i="8" s="1"/>
  <c r="O22" i="8" a="1"/>
  <c r="O22" i="8" s="1"/>
  <c r="X50" i="8" a="1"/>
  <c r="X50" i="8" s="1"/>
  <c r="R25" i="8" a="1"/>
  <c r="R25" i="8" s="1"/>
  <c r="W50" i="8" a="1"/>
  <c r="W50" i="8" s="1"/>
  <c r="M50" i="8" a="1"/>
  <c r="M50" i="8" s="1"/>
  <c r="T19" i="8" a="1"/>
  <c r="T19" i="8" s="1"/>
  <c r="L50" i="8" a="1"/>
  <c r="L50" i="8" s="1"/>
  <c r="V19" i="8" a="1"/>
  <c r="V19" i="8" s="1"/>
  <c r="P27" i="8" a="1"/>
  <c r="P27" i="8" s="1"/>
  <c r="S25" i="8" a="1"/>
  <c r="S25" i="8" s="1"/>
  <c r="AB21" i="8" a="1"/>
  <c r="AB21" i="8" s="1"/>
  <c r="AB20" i="8" a="1"/>
  <c r="AB20" i="8" s="1"/>
  <c r="P49" i="8" a="1"/>
  <c r="P49" i="8" s="1"/>
  <c r="O49" i="8" a="1"/>
  <c r="O49" i="8" s="1"/>
  <c r="AB48" i="8" a="1"/>
  <c r="AB48" i="8" s="1"/>
  <c r="J52" i="8" a="1"/>
  <c r="J52" i="8" s="1"/>
  <c r="I52" i="8" a="1"/>
  <c r="I52" i="8" s="1"/>
  <c r="AA27" i="8" a="1"/>
  <c r="AA27" i="8" s="1"/>
  <c r="T24" i="8" a="1"/>
  <c r="T24" i="8" s="1"/>
  <c r="Y22" i="8" a="1"/>
  <c r="Y22" i="8" s="1"/>
  <c r="L21" i="8" a="1"/>
  <c r="L21" i="8" s="1"/>
  <c r="O20" i="8" a="1"/>
  <c r="O20" i="8" s="1"/>
  <c r="X21" i="8" a="1"/>
  <c r="X21" i="8" s="1"/>
  <c r="Z22" i="8" a="1"/>
  <c r="Z22" i="8" s="1"/>
  <c r="G31" i="8" a="1"/>
  <c r="G31" i="8" s="1"/>
  <c r="T22" i="8" a="1"/>
  <c r="T22" i="8" s="1"/>
  <c r="S22" i="8" a="1"/>
  <c r="S22" i="8" s="1"/>
  <c r="X25" i="8" a="1"/>
  <c r="X25" i="8" s="1"/>
  <c r="P22" i="8" a="1"/>
  <c r="P22" i="8" s="1"/>
  <c r="W25" i="8" a="1"/>
  <c r="W25" i="8" s="1"/>
  <c r="V23" i="8" a="1"/>
  <c r="V23" i="8" s="1"/>
  <c r="Y12" i="8" a="1"/>
  <c r="Y12" i="8" s="1"/>
  <c r="Q27" i="8" a="1"/>
  <c r="Q27" i="8" s="1"/>
  <c r="AB22" i="8" a="1"/>
  <c r="AB22" i="8" s="1"/>
  <c r="E21" i="8" a="1"/>
  <c r="E21" i="8" s="1"/>
  <c r="P23" i="8" a="1"/>
  <c r="P23" i="8" s="1"/>
  <c r="O23" i="8" a="1"/>
  <c r="O23" i="8" s="1"/>
  <c r="R26" i="8" a="1"/>
  <c r="R26" i="8" s="1"/>
  <c r="AB24" i="8" a="1"/>
  <c r="AB24" i="8" s="1"/>
  <c r="AB23" i="8" a="1"/>
  <c r="AB23" i="8" s="1"/>
  <c r="S21" i="8" a="1"/>
  <c r="S21" i="8" s="1"/>
  <c r="E19" i="8" a="1"/>
  <c r="E19" i="8" s="1"/>
  <c r="AA24" i="8" a="1"/>
  <c r="AA24" i="8" s="1"/>
  <c r="Y23" i="8" a="1"/>
  <c r="Y23" i="8" s="1"/>
  <c r="M23" i="8" a="1"/>
  <c r="M23" i="8" s="1"/>
  <c r="X22" i="8" a="1"/>
  <c r="X22" i="8" s="1"/>
  <c r="AA21" i="8" a="1"/>
  <c r="AA21" i="8" s="1"/>
  <c r="R21" i="8" a="1"/>
  <c r="R21" i="8" s="1"/>
  <c r="F19" i="8" a="1"/>
  <c r="F19" i="8" s="1"/>
  <c r="Q19" i="8" a="1"/>
  <c r="Q19" i="8" s="1"/>
  <c r="P26" i="8" a="1"/>
  <c r="P26" i="8" s="1"/>
  <c r="P25" i="8" a="1"/>
  <c r="P25" i="8" s="1"/>
  <c r="X23" i="8" a="1"/>
  <c r="X23" i="8" s="1"/>
  <c r="L23" i="8" a="1"/>
  <c r="L23" i="8" s="1"/>
  <c r="M22" i="8" a="1"/>
  <c r="M22" i="8" s="1"/>
  <c r="Z37" i="8" a="1"/>
  <c r="Z37" i="8" s="1"/>
  <c r="R19" i="8" a="1"/>
  <c r="R19" i="8" s="1"/>
  <c r="O25" i="8" a="1"/>
  <c r="O25" i="8" s="1"/>
  <c r="W24" i="8" a="1"/>
  <c r="W24" i="8" s="1"/>
  <c r="V22" i="8" a="1"/>
  <c r="V22" i="8" s="1"/>
  <c r="L22" i="8" a="1"/>
  <c r="L22" i="8" s="1"/>
  <c r="V20" i="8" a="1"/>
  <c r="V20" i="8" s="1"/>
  <c r="F31" i="8" a="1"/>
  <c r="F31" i="8" s="1"/>
  <c r="N19" i="8" a="1"/>
  <c r="N19" i="8" s="1"/>
  <c r="AA23" i="8" a="1"/>
  <c r="AA23" i="8" s="1"/>
  <c r="I23" i="8" a="1"/>
  <c r="I23" i="8" s="1"/>
  <c r="Y31" i="8" a="1"/>
  <c r="Y31" i="8" s="1"/>
  <c r="M33" i="8" a="1"/>
  <c r="M33" i="8" s="1"/>
  <c r="O19" i="8" a="1"/>
  <c r="O19" i="8" s="1"/>
  <c r="M24" i="8" a="1"/>
  <c r="M24" i="8" s="1"/>
  <c r="Y21" i="8" a="1"/>
  <c r="Y21" i="8" s="1"/>
  <c r="S20" i="8" a="1"/>
  <c r="S20" i="8" s="1"/>
  <c r="S34" i="8" a="1"/>
  <c r="S34" i="8" s="1"/>
  <c r="X31" i="8" a="1"/>
  <c r="X31" i="8" s="1"/>
  <c r="AB35" i="8" a="1"/>
  <c r="AB35" i="8" s="1"/>
  <c r="L33" i="8" a="1"/>
  <c r="L33" i="8" s="1"/>
  <c r="G20" i="8" a="1"/>
  <c r="G20" i="8" s="1"/>
  <c r="L24" i="8" a="1"/>
  <c r="L24" i="8" s="1"/>
  <c r="R20" i="8" a="1"/>
  <c r="R20" i="8" s="1"/>
  <c r="R34" i="8" a="1"/>
  <c r="R34" i="8" s="1"/>
  <c r="AA35" i="8" a="1"/>
  <c r="AA35" i="8" s="1"/>
  <c r="F20" i="8" a="1"/>
  <c r="F20" i="8" s="1"/>
  <c r="V25" i="8" a="1"/>
  <c r="V25" i="8" s="1"/>
  <c r="R22" i="8" a="1"/>
  <c r="R22" i="8" s="1"/>
  <c r="AA20" i="8" a="1"/>
  <c r="AA20" i="8" s="1"/>
  <c r="U25" i="8" a="1"/>
  <c r="U25" i="8" s="1"/>
  <c r="M21" i="8" a="1"/>
  <c r="M21" i="8" s="1"/>
  <c r="P20" i="8" a="1"/>
  <c r="P20" i="8" s="1"/>
  <c r="G27" i="8" a="1"/>
  <c r="G27" i="8" s="1"/>
  <c r="S27" i="8" a="1"/>
  <c r="S27" i="8" s="1"/>
  <c r="Y24" i="8" a="1"/>
  <c r="Y24" i="8" s="1"/>
  <c r="AA11" i="8" a="1"/>
  <c r="AA11" i="8" s="1"/>
  <c r="P21" i="8" a="1"/>
  <c r="P21" i="8" s="1"/>
  <c r="U20" i="8" a="1"/>
  <c r="U20" i="8" s="1"/>
  <c r="S23" i="8" a="1"/>
  <c r="S23" i="8" s="1"/>
  <c r="R23" i="8" a="1"/>
  <c r="R23" i="8" s="1"/>
  <c r="Z10" i="8" a="1"/>
  <c r="Z10" i="8" s="1"/>
  <c r="Q11" i="8" a="1"/>
  <c r="Q11" i="8" s="1"/>
  <c r="AA57" i="8" a="1"/>
  <c r="AA57" i="8" s="1"/>
  <c r="AB12" i="8" a="1"/>
  <c r="AB12" i="8" s="1"/>
  <c r="AA12" i="8" a="1"/>
  <c r="AA12" i="8" s="1"/>
  <c r="AA43" i="8" a="1"/>
  <c r="AA43" i="8" s="1"/>
  <c r="X12" i="8" a="1"/>
  <c r="X12" i="8" s="1"/>
  <c r="AB42" i="8" a="1"/>
  <c r="AB42" i="8" s="1"/>
  <c r="AA42" i="8" a="1"/>
  <c r="AA42" i="8" s="1"/>
  <c r="S14" i="8" a="1"/>
  <c r="S14" i="8" s="1"/>
  <c r="R14" i="8" a="1"/>
  <c r="R14" i="8" s="1"/>
  <c r="W15" i="8" a="1"/>
  <c r="W15" i="8" s="1"/>
  <c r="AB15" i="8" a="1"/>
  <c r="AB15" i="8" s="1"/>
  <c r="K10" i="8" a="1"/>
  <c r="K10" i="8" s="1"/>
  <c r="G13" i="8" a="1"/>
  <c r="G13" i="8" s="1"/>
  <c r="AA15" i="8" a="1"/>
  <c r="AA15" i="8" s="1"/>
  <c r="F13" i="8" a="1"/>
  <c r="F13" i="8" s="1"/>
  <c r="L10" i="8" a="1"/>
  <c r="L10" i="8" s="1"/>
  <c r="G17" i="8" a="1"/>
  <c r="G17" i="8" s="1"/>
  <c r="AB45" i="8" a="1"/>
  <c r="AB45" i="8" s="1"/>
  <c r="AB58" i="8" a="1"/>
  <c r="AB58" i="8" s="1"/>
  <c r="AA45" i="8" a="1"/>
  <c r="AA45" i="8" s="1"/>
  <c r="AA58" i="8" a="1"/>
  <c r="AA58" i="8" s="1"/>
  <c r="Y15" i="8" a="1"/>
  <c r="Y15" i="8" s="1"/>
  <c r="R12" i="8" a="1"/>
  <c r="R12" i="8" s="1"/>
  <c r="S12" i="8" a="1"/>
  <c r="S12" i="8" s="1"/>
  <c r="AA40" i="8" a="1"/>
  <c r="AA40" i="8" s="1"/>
  <c r="Y10" i="8" a="1"/>
  <c r="Y10" i="8" s="1"/>
  <c r="AB41" i="8" a="1"/>
  <c r="AB41" i="8" s="1"/>
  <c r="K15" i="8" a="1"/>
  <c r="K15" i="8" s="1"/>
  <c r="AA10" i="8" a="1"/>
  <c r="AA10" i="8" s="1"/>
  <c r="AA41" i="8" a="1"/>
  <c r="AA41" i="8" s="1"/>
  <c r="AB10" i="8" a="1"/>
  <c r="AB10" i="8" s="1"/>
  <c r="AB61" i="8" a="1"/>
  <c r="AB61" i="8" s="1"/>
  <c r="AB40" i="8" a="1"/>
  <c r="AB40" i="8" s="1"/>
  <c r="AB13" i="8" a="1"/>
  <c r="AB13" i="8" s="1"/>
  <c r="Z13" i="8" a="1"/>
  <c r="Z13" i="8" s="1"/>
  <c r="Z55" i="8" a="1"/>
  <c r="Z55" i="8" s="1"/>
  <c r="S15" i="8" a="1"/>
  <c r="S15" i="8" s="1"/>
  <c r="R15" i="8" a="1"/>
  <c r="R15" i="8" s="1"/>
  <c r="AA55" i="8" a="1"/>
  <c r="AA55" i="8" s="1"/>
  <c r="Y13" i="8" a="1"/>
  <c r="Y13" i="8" s="1"/>
  <c r="X13" i="8" a="1"/>
  <c r="X13" i="8" s="1"/>
  <c r="Z57" i="8" a="1"/>
  <c r="Z57" i="8" s="1"/>
  <c r="AB39" i="8" a="1"/>
  <c r="AB39" i="8" s="1"/>
  <c r="Z39" i="8" a="1"/>
  <c r="Z39" i="8" s="1"/>
  <c r="AB60" i="8" a="1"/>
  <c r="AB60" i="8" s="1"/>
  <c r="AA60" i="8" a="1"/>
  <c r="AA60" i="8" s="1"/>
  <c r="E15" i="8" a="1"/>
  <c r="E15" i="8" s="1"/>
  <c r="AB59" i="8" a="1"/>
  <c r="AB59" i="8" s="1"/>
  <c r="AA59" i="8" a="1"/>
  <c r="AA59" i="8" s="1"/>
  <c r="O43" i="8" a="1"/>
  <c r="O43" i="8" s="1"/>
  <c r="P43" i="8" a="1"/>
  <c r="P43" i="8" s="1"/>
  <c r="N43" i="8" a="1"/>
  <c r="N43" i="8" s="1"/>
  <c r="P31" i="8" a="1"/>
  <c r="P31" i="8" s="1"/>
  <c r="N31" i="8" a="1"/>
  <c r="N31" i="8" s="1"/>
  <c r="O31" i="8" a="1"/>
  <c r="O31" i="8" s="1"/>
  <c r="Q16" i="8" a="1"/>
  <c r="Q16" i="8" s="1"/>
  <c r="R16" i="8" a="1"/>
  <c r="R16" i="8" s="1"/>
  <c r="S16" i="8" a="1"/>
  <c r="S16" i="8" s="1"/>
  <c r="P11" i="8" a="1"/>
  <c r="P11" i="8" s="1"/>
  <c r="N11" i="8" a="1"/>
  <c r="N11" i="8" s="1"/>
  <c r="O11" i="8" a="1"/>
  <c r="O11" i="8" s="1"/>
  <c r="H61" i="8" a="1"/>
  <c r="H61" i="8" s="1"/>
  <c r="I61" i="8" a="1"/>
  <c r="I61" i="8" s="1"/>
  <c r="J61" i="8" a="1"/>
  <c r="J61" i="8" s="1"/>
  <c r="N58" i="8" a="1"/>
  <c r="N58" i="8" s="1"/>
  <c r="O58" i="8" a="1"/>
  <c r="O58" i="8" s="1"/>
  <c r="P58" i="8" a="1"/>
  <c r="P58" i="8" s="1"/>
  <c r="V37" i="8" a="1"/>
  <c r="V37" i="8" s="1"/>
  <c r="U37" i="8" a="1"/>
  <c r="U37" i="8" s="1"/>
  <c r="T37" i="8" a="1"/>
  <c r="T37" i="8" s="1"/>
  <c r="H43" i="8" a="1"/>
  <c r="H43" i="8" s="1"/>
  <c r="I43" i="8" a="1"/>
  <c r="I43" i="8" s="1"/>
  <c r="J43" i="8" a="1"/>
  <c r="J43" i="8" s="1"/>
  <c r="P40" i="8" a="1"/>
  <c r="P40" i="8" s="1"/>
  <c r="N40" i="8" a="1"/>
  <c r="N40" i="8" s="1"/>
  <c r="O40" i="8" a="1"/>
  <c r="O40" i="8" s="1"/>
  <c r="T16" i="8" a="1"/>
  <c r="T16" i="8" s="1"/>
  <c r="U16" i="8" a="1"/>
  <c r="U16" i="8" s="1"/>
  <c r="V16" i="8" a="1"/>
  <c r="V16" i="8" s="1"/>
  <c r="P10" i="8" a="1"/>
  <c r="P10" i="8" s="1"/>
  <c r="O10" i="8" a="1"/>
  <c r="O10" i="8" s="1"/>
  <c r="N10" i="8" a="1"/>
  <c r="N10" i="8" s="1"/>
  <c r="AA30" i="8" a="1"/>
  <c r="AA30" i="8" s="1"/>
  <c r="AB30" i="8" a="1"/>
  <c r="AB30" i="8" s="1"/>
  <c r="Z30" i="8" a="1"/>
  <c r="Z30" i="8" s="1"/>
  <c r="T33" i="8" a="1"/>
  <c r="T33" i="8" s="1"/>
  <c r="U33" i="8" a="1"/>
  <c r="U33" i="8" s="1"/>
  <c r="V33" i="8" a="1"/>
  <c r="V33" i="8" s="1"/>
  <c r="J31" i="8" a="1"/>
  <c r="J31" i="8" s="1"/>
  <c r="I31" i="8" a="1"/>
  <c r="I31" i="8" s="1"/>
  <c r="K18" i="8" a="1"/>
  <c r="K18" i="8" s="1"/>
  <c r="L18" i="8" a="1"/>
  <c r="L18" i="8" s="1"/>
  <c r="M18" i="8" a="1"/>
  <c r="M18" i="8" s="1"/>
  <c r="T60" i="8" a="1"/>
  <c r="T60" i="8" s="1"/>
  <c r="U60" i="8" a="1"/>
  <c r="U60" i="8" s="1"/>
  <c r="V60" i="8" a="1"/>
  <c r="V60" i="8" s="1"/>
  <c r="H58" i="8" a="1"/>
  <c r="H58" i="8" s="1"/>
  <c r="I58" i="8" a="1"/>
  <c r="I58" i="8" s="1"/>
  <c r="J58" i="8" a="1"/>
  <c r="J58" i="8" s="1"/>
  <c r="P37" i="8" a="1"/>
  <c r="P37" i="8" s="1"/>
  <c r="O37" i="8" a="1"/>
  <c r="O37" i="8" s="1"/>
  <c r="N37" i="8" a="1"/>
  <c r="N37" i="8" s="1"/>
  <c r="T42" i="8" a="1"/>
  <c r="T42" i="8" s="1"/>
  <c r="U42" i="8" a="1"/>
  <c r="U42" i="8" s="1"/>
  <c r="V42" i="8" a="1"/>
  <c r="V42" i="8" s="1"/>
  <c r="H40" i="8" a="1"/>
  <c r="H40" i="8" s="1"/>
  <c r="I40" i="8" a="1"/>
  <c r="I40" i="8" s="1"/>
  <c r="J40" i="8" a="1"/>
  <c r="J40" i="8" s="1"/>
  <c r="N16" i="8" a="1"/>
  <c r="N16" i="8" s="1"/>
  <c r="O16" i="8" a="1"/>
  <c r="O16" i="8" s="1"/>
  <c r="P16" i="8" a="1"/>
  <c r="P16" i="8" s="1"/>
  <c r="U13" i="8" a="1"/>
  <c r="U13" i="8" s="1"/>
  <c r="V13" i="8" a="1"/>
  <c r="V13" i="8" s="1"/>
  <c r="T13" i="8" a="1"/>
  <c r="T13" i="8" s="1"/>
  <c r="AB28" i="8" a="1"/>
  <c r="AB28" i="8" s="1"/>
  <c r="Z28" i="8" a="1"/>
  <c r="Z28" i="8" s="1"/>
  <c r="AA28" i="8" a="1"/>
  <c r="AA28" i="8" s="1"/>
  <c r="N33" i="8" a="1"/>
  <c r="N33" i="8" s="1"/>
  <c r="O33" i="8" a="1"/>
  <c r="O33" i="8" s="1"/>
  <c r="P33" i="8" a="1"/>
  <c r="P33" i="8" s="1"/>
  <c r="U30" i="8" a="1"/>
  <c r="U30" i="8" s="1"/>
  <c r="V30" i="8" a="1"/>
  <c r="V30" i="8" s="1"/>
  <c r="T30" i="8" a="1"/>
  <c r="T30" i="8" s="1"/>
  <c r="Q18" i="8" a="1"/>
  <c r="Q18" i="8" s="1"/>
  <c r="R18" i="8" a="1"/>
  <c r="R18" i="8" s="1"/>
  <c r="S18" i="8" a="1"/>
  <c r="S18" i="8" s="1"/>
  <c r="N61" i="8" a="1"/>
  <c r="N61" i="8" s="1"/>
  <c r="O61" i="8" a="1"/>
  <c r="O61" i="8" s="1"/>
  <c r="P61" i="8" a="1"/>
  <c r="P61" i="8" s="1"/>
  <c r="Z31" i="8" a="1"/>
  <c r="Z31" i="8" s="1"/>
  <c r="AA31" i="8" a="1"/>
  <c r="AA31" i="8" s="1"/>
  <c r="AB31" i="8" a="1"/>
  <c r="AB31" i="8" s="1"/>
  <c r="K16" i="8" a="1"/>
  <c r="K16" i="8" s="1"/>
  <c r="L16" i="8" a="1"/>
  <c r="L16" i="8" s="1"/>
  <c r="M16" i="8" a="1"/>
  <c r="M16" i="8" s="1"/>
  <c r="O60" i="8" a="1"/>
  <c r="O60" i="8" s="1"/>
  <c r="P60" i="8" a="1"/>
  <c r="P60" i="8" s="1"/>
  <c r="N60" i="8" a="1"/>
  <c r="N60" i="8" s="1"/>
  <c r="T57" i="8" a="1"/>
  <c r="T57" i="8" s="1"/>
  <c r="U57" i="8" a="1"/>
  <c r="U57" i="8" s="1"/>
  <c r="V57" i="8" a="1"/>
  <c r="V57" i="8" s="1"/>
  <c r="I37" i="8" a="1"/>
  <c r="I37" i="8" s="1"/>
  <c r="J37" i="8" a="1"/>
  <c r="J37" i="8" s="1"/>
  <c r="H37" i="8" a="1"/>
  <c r="H37" i="8" s="1"/>
  <c r="N42" i="8" a="1"/>
  <c r="N42" i="8" s="1"/>
  <c r="O42" i="8" a="1"/>
  <c r="O42" i="8" s="1"/>
  <c r="P42" i="8" a="1"/>
  <c r="P42" i="8" s="1"/>
  <c r="T39" i="8" a="1"/>
  <c r="T39" i="8" s="1"/>
  <c r="U39" i="8" a="1"/>
  <c r="U39" i="8" s="1"/>
  <c r="V39" i="8" a="1"/>
  <c r="V39" i="8" s="1"/>
  <c r="N13" i="8" a="1"/>
  <c r="N13" i="8" s="1"/>
  <c r="O13" i="8" a="1"/>
  <c r="O13" i="8" s="1"/>
  <c r="P13" i="8" a="1"/>
  <c r="P13" i="8" s="1"/>
  <c r="Z36" i="8" a="1"/>
  <c r="Z36" i="8" s="1"/>
  <c r="AA36" i="8" a="1"/>
  <c r="AA36" i="8" s="1"/>
  <c r="AB36" i="8" a="1"/>
  <c r="AB36" i="8" s="1"/>
  <c r="T36" i="8" a="1"/>
  <c r="T36" i="8" s="1"/>
  <c r="U36" i="8" a="1"/>
  <c r="U36" i="8" s="1"/>
  <c r="V36" i="8" a="1"/>
  <c r="V36" i="8" s="1"/>
  <c r="J33" i="8" a="1"/>
  <c r="J33" i="8" s="1"/>
  <c r="I33" i="8" a="1"/>
  <c r="I33" i="8" s="1"/>
  <c r="N30" i="8" a="1"/>
  <c r="N30" i="8" s="1"/>
  <c r="O30" i="8" a="1"/>
  <c r="O30" i="8" s="1"/>
  <c r="P30" i="8" a="1"/>
  <c r="P30" i="8" s="1"/>
  <c r="U58" i="8" a="1"/>
  <c r="U58" i="8" s="1"/>
  <c r="V58" i="8" a="1"/>
  <c r="V58" i="8" s="1"/>
  <c r="T58" i="8" a="1"/>
  <c r="T58" i="8" s="1"/>
  <c r="V10" i="8" a="1"/>
  <c r="V10" i="8" s="1"/>
  <c r="U10" i="8" a="1"/>
  <c r="U10" i="8" s="1"/>
  <c r="T10" i="8" a="1"/>
  <c r="T10" i="8" s="1"/>
  <c r="F18" i="8" a="1"/>
  <c r="F18" i="8" s="1"/>
  <c r="G18" i="8" a="1"/>
  <c r="G18" i="8" s="1"/>
  <c r="E18" i="8" a="1"/>
  <c r="E18" i="8" s="1"/>
  <c r="Z63" i="8" a="1"/>
  <c r="Z63" i="8" s="1"/>
  <c r="AA63" i="8" a="1"/>
  <c r="AA63" i="8" s="1"/>
  <c r="AB63" i="8" a="1"/>
  <c r="AB63" i="8" s="1"/>
  <c r="V63" i="8" a="1"/>
  <c r="V63" i="8" s="1"/>
  <c r="T63" i="8" a="1"/>
  <c r="T63" i="8" s="1"/>
  <c r="U63" i="8" a="1"/>
  <c r="U63" i="8" s="1"/>
  <c r="H60" i="8" a="1"/>
  <c r="H60" i="8" s="1"/>
  <c r="I60" i="8" a="1"/>
  <c r="I60" i="8" s="1"/>
  <c r="J60" i="8" a="1"/>
  <c r="J60" i="8" s="1"/>
  <c r="P57" i="8" a="1"/>
  <c r="P57" i="8" s="1"/>
  <c r="N57" i="8" a="1"/>
  <c r="N57" i="8" s="1"/>
  <c r="O57" i="8" a="1"/>
  <c r="O57" i="8" s="1"/>
  <c r="T45" i="8" a="1"/>
  <c r="T45" i="8" s="1"/>
  <c r="U45" i="8" a="1"/>
  <c r="U45" i="8" s="1"/>
  <c r="V45" i="8" a="1"/>
  <c r="V45" i="8" s="1"/>
  <c r="J42" i="8" a="1"/>
  <c r="J42" i="8" s="1"/>
  <c r="H42" i="8" a="1"/>
  <c r="H42" i="8" s="1"/>
  <c r="I42" i="8" a="1"/>
  <c r="I42" i="8" s="1"/>
  <c r="N39" i="8" a="1"/>
  <c r="N39" i="8" s="1"/>
  <c r="O39" i="8" a="1"/>
  <c r="O39" i="8" s="1"/>
  <c r="P39" i="8" a="1"/>
  <c r="P39" i="8" s="1"/>
  <c r="T15" i="8" a="1"/>
  <c r="T15" i="8" s="1"/>
  <c r="U15" i="8" a="1"/>
  <c r="U15" i="8" s="1"/>
  <c r="V15" i="8" a="1"/>
  <c r="V15" i="8" s="1"/>
  <c r="Z34" i="8" a="1"/>
  <c r="Z34" i="8" s="1"/>
  <c r="AA34" i="8" a="1"/>
  <c r="AA34" i="8" s="1"/>
  <c r="AB34" i="8" a="1"/>
  <c r="AB34" i="8" s="1"/>
  <c r="N36" i="8" a="1"/>
  <c r="N36" i="8" s="1"/>
  <c r="O36" i="8" a="1"/>
  <c r="O36" i="8" s="1"/>
  <c r="P36" i="8" a="1"/>
  <c r="P36" i="8" s="1"/>
  <c r="T32" i="8" a="1"/>
  <c r="T32" i="8" s="1"/>
  <c r="U32" i="8" a="1"/>
  <c r="U32" i="8" s="1"/>
  <c r="V32" i="8" a="1"/>
  <c r="V32" i="8" s="1"/>
  <c r="J30" i="8" a="1"/>
  <c r="J30" i="8" s="1"/>
  <c r="I30" i="8" a="1"/>
  <c r="I30" i="8" s="1"/>
  <c r="J34" i="8" a="1"/>
  <c r="J34" i="8" s="1"/>
  <c r="I34" i="8" a="1"/>
  <c r="I34" i="8" s="1"/>
  <c r="E16" i="8" a="1"/>
  <c r="E16" i="8" s="1"/>
  <c r="F16" i="8" a="1"/>
  <c r="F16" i="8" s="1"/>
  <c r="G16" i="8" a="1"/>
  <c r="G16" i="8" s="1"/>
  <c r="N63" i="8" a="1"/>
  <c r="N63" i="8" s="1"/>
  <c r="O63" i="8" a="1"/>
  <c r="O63" i="8" s="1"/>
  <c r="P63" i="8" a="1"/>
  <c r="P63" i="8" s="1"/>
  <c r="T59" i="8" a="1"/>
  <c r="T59" i="8" s="1"/>
  <c r="U59" i="8" a="1"/>
  <c r="U59" i="8" s="1"/>
  <c r="V59" i="8" a="1"/>
  <c r="V59" i="8" s="1"/>
  <c r="H57" i="8" a="1"/>
  <c r="H57" i="8" s="1"/>
  <c r="I57" i="8" a="1"/>
  <c r="I57" i="8" s="1"/>
  <c r="J57" i="8" a="1"/>
  <c r="J57" i="8" s="1"/>
  <c r="N45" i="8" a="1"/>
  <c r="N45" i="8" s="1"/>
  <c r="O45" i="8" a="1"/>
  <c r="O45" i="8" s="1"/>
  <c r="P45" i="8" a="1"/>
  <c r="P45" i="8" s="1"/>
  <c r="U41" i="8" a="1"/>
  <c r="U41" i="8" s="1"/>
  <c r="V41" i="8" a="1"/>
  <c r="V41" i="8" s="1"/>
  <c r="T41" i="8" a="1"/>
  <c r="T41" i="8" s="1"/>
  <c r="J39" i="8" a="1"/>
  <c r="J39" i="8" s="1"/>
  <c r="H39" i="8" a="1"/>
  <c r="H39" i="8" s="1"/>
  <c r="I39" i="8" a="1"/>
  <c r="I39" i="8" s="1"/>
  <c r="N15" i="8" a="1"/>
  <c r="N15" i="8" s="1"/>
  <c r="O15" i="8" a="1"/>
  <c r="O15" i="8" s="1"/>
  <c r="P15" i="8" a="1"/>
  <c r="P15" i="8" s="1"/>
  <c r="T12" i="8" a="1"/>
  <c r="T12" i="8" s="1"/>
  <c r="U12" i="8" a="1"/>
  <c r="U12" i="8" s="1"/>
  <c r="V12" i="8" a="1"/>
  <c r="V12" i="8" s="1"/>
  <c r="I36" i="8" a="1"/>
  <c r="I36" i="8" s="1"/>
  <c r="J36" i="8" a="1"/>
  <c r="J36" i="8" s="1"/>
  <c r="N32" i="8" a="1"/>
  <c r="N32" i="8" s="1"/>
  <c r="O32" i="8" a="1"/>
  <c r="O32" i="8" s="1"/>
  <c r="P32" i="8" a="1"/>
  <c r="P32" i="8" s="1"/>
  <c r="V28" i="8" a="1"/>
  <c r="V28" i="8" s="1"/>
  <c r="U28" i="8" a="1"/>
  <c r="U28" i="8" s="1"/>
  <c r="T28" i="8" a="1"/>
  <c r="T28" i="8" s="1"/>
  <c r="N17" i="8" a="1"/>
  <c r="N17" i="8" s="1"/>
  <c r="O17" i="8" a="1"/>
  <c r="O17" i="8" s="1"/>
  <c r="P17" i="8" a="1"/>
  <c r="P17" i="8" s="1"/>
  <c r="Y18" i="8" a="1"/>
  <c r="Y18" i="8" s="1"/>
  <c r="W18" i="8" a="1"/>
  <c r="W18" i="8" s="1"/>
  <c r="X18" i="8" a="1"/>
  <c r="X18" i="8" s="1"/>
  <c r="T17" i="8" a="1"/>
  <c r="T17" i="8" s="1"/>
  <c r="U17" i="8" a="1"/>
  <c r="U17" i="8" s="1"/>
  <c r="V17" i="8" a="1"/>
  <c r="V17" i="8" s="1"/>
  <c r="H63" i="8" a="1"/>
  <c r="H63" i="8" s="1"/>
  <c r="I63" i="8" a="1"/>
  <c r="I63" i="8" s="1"/>
  <c r="J63" i="8" a="1"/>
  <c r="J63" i="8" s="1"/>
  <c r="N59" i="8" a="1"/>
  <c r="N59" i="8" s="1"/>
  <c r="O59" i="8" a="1"/>
  <c r="O59" i="8" s="1"/>
  <c r="P59" i="8" a="1"/>
  <c r="P59" i="8" s="1"/>
  <c r="V55" i="8" a="1"/>
  <c r="V55" i="8" s="1"/>
  <c r="U55" i="8" a="1"/>
  <c r="U55" i="8" s="1"/>
  <c r="T55" i="8" a="1"/>
  <c r="T55" i="8" s="1"/>
  <c r="I45" i="8" a="1"/>
  <c r="I45" i="8" s="1"/>
  <c r="J45" i="8" a="1"/>
  <c r="J45" i="8" s="1"/>
  <c r="H45" i="8" a="1"/>
  <c r="H45" i="8" s="1"/>
  <c r="N41" i="8" a="1"/>
  <c r="N41" i="8" s="1"/>
  <c r="O41" i="8" a="1"/>
  <c r="O41" i="8" s="1"/>
  <c r="P41" i="8" a="1"/>
  <c r="P41" i="8" s="1"/>
  <c r="AB18" i="8" a="1"/>
  <c r="AB18" i="8" s="1"/>
  <c r="Z18" i="8" a="1"/>
  <c r="Z18" i="8" s="1"/>
  <c r="AA18" i="8" a="1"/>
  <c r="AA18" i="8" s="1"/>
  <c r="V18" i="8" a="1"/>
  <c r="V18" i="8" s="1"/>
  <c r="T18" i="8" a="1"/>
  <c r="T18" i="8" s="1"/>
  <c r="U18" i="8" a="1"/>
  <c r="U18" i="8" s="1"/>
  <c r="N12" i="8" a="1"/>
  <c r="N12" i="8" s="1"/>
  <c r="O12" i="8" a="1"/>
  <c r="O12" i="8" s="1"/>
  <c r="P12" i="8" a="1"/>
  <c r="P12" i="8" s="1"/>
  <c r="Z33" i="8" a="1"/>
  <c r="Z33" i="8" s="1"/>
  <c r="AA33" i="8" a="1"/>
  <c r="AA33" i="8" s="1"/>
  <c r="AB33" i="8" a="1"/>
  <c r="AB33" i="8" s="1"/>
  <c r="T34" i="8" a="1"/>
  <c r="T34" i="8" s="1"/>
  <c r="U34" i="8" a="1"/>
  <c r="U34" i="8" s="1"/>
  <c r="V34" i="8" a="1"/>
  <c r="V34" i="8" s="1"/>
  <c r="J32" i="8" a="1"/>
  <c r="J32" i="8" s="1"/>
  <c r="I32" i="8" a="1"/>
  <c r="I32" i="8" s="1"/>
  <c r="P28" i="8" a="1"/>
  <c r="P28" i="8" s="1"/>
  <c r="O28" i="8" a="1"/>
  <c r="O28" i="8" s="1"/>
  <c r="N28" i="8" a="1"/>
  <c r="N28" i="8" s="1"/>
  <c r="J55" i="8" a="1"/>
  <c r="J55" i="8" s="1"/>
  <c r="I55" i="8" a="1"/>
  <c r="I55" i="8" s="1"/>
  <c r="H55" i="8" a="1"/>
  <c r="H55" i="8" s="1"/>
  <c r="T40" i="8" a="1"/>
  <c r="T40" i="8" s="1"/>
  <c r="U40" i="8" a="1"/>
  <c r="U40" i="8" s="1"/>
  <c r="V40" i="8" a="1"/>
  <c r="V40" i="8" s="1"/>
  <c r="O14" i="8" a="1"/>
  <c r="O14" i="8" s="1"/>
  <c r="P14" i="8" a="1"/>
  <c r="P14" i="8" s="1"/>
  <c r="N14" i="8" a="1"/>
  <c r="N14" i="8" s="1"/>
  <c r="W16" i="8" a="1"/>
  <c r="W16" i="8" s="1"/>
  <c r="X16" i="8" a="1"/>
  <c r="X16" i="8" s="1"/>
  <c r="Y16" i="8" a="1"/>
  <c r="Y16" i="8" s="1"/>
  <c r="T11" i="8" a="1"/>
  <c r="T11" i="8" s="1"/>
  <c r="U11" i="8" a="1"/>
  <c r="U11" i="8" s="1"/>
  <c r="V11" i="8" a="1"/>
  <c r="V11" i="8" s="1"/>
  <c r="T61" i="8" a="1"/>
  <c r="T61" i="8" s="1"/>
  <c r="U61" i="8" a="1"/>
  <c r="U61" i="8" s="1"/>
  <c r="V61" i="8" a="1"/>
  <c r="V61" i="8" s="1"/>
  <c r="J59" i="8" a="1"/>
  <c r="J59" i="8" s="1"/>
  <c r="H59" i="8" a="1"/>
  <c r="H59" i="8" s="1"/>
  <c r="I59" i="8" a="1"/>
  <c r="I59" i="8" s="1"/>
  <c r="P55" i="8" a="1"/>
  <c r="P55" i="8" s="1"/>
  <c r="O55" i="8" a="1"/>
  <c r="O55" i="8" s="1"/>
  <c r="N55" i="8" a="1"/>
  <c r="N55" i="8" s="1"/>
  <c r="T43" i="8" a="1"/>
  <c r="T43" i="8" s="1"/>
  <c r="U43" i="8" a="1"/>
  <c r="U43" i="8" s="1"/>
  <c r="V43" i="8" a="1"/>
  <c r="V43" i="8" s="1"/>
  <c r="H41" i="8" a="1"/>
  <c r="H41" i="8" s="1"/>
  <c r="I41" i="8" a="1"/>
  <c r="I41" i="8" s="1"/>
  <c r="J41" i="8" a="1"/>
  <c r="J41" i="8" s="1"/>
  <c r="N18" i="8" a="1"/>
  <c r="N18" i="8" s="1"/>
  <c r="O18" i="8" a="1"/>
  <c r="O18" i="8" s="1"/>
  <c r="P18" i="8" a="1"/>
  <c r="P18" i="8" s="1"/>
  <c r="T14" i="8" a="1"/>
  <c r="T14" i="8" s="1"/>
  <c r="U14" i="8" a="1"/>
  <c r="U14" i="8" s="1"/>
  <c r="V14" i="8" a="1"/>
  <c r="V14" i="8" s="1"/>
  <c r="Z32" i="8" a="1"/>
  <c r="Z32" i="8" s="1"/>
  <c r="AA32" i="8" a="1"/>
  <c r="AA32" i="8" s="1"/>
  <c r="AB32" i="8" a="1"/>
  <c r="AB32" i="8" s="1"/>
  <c r="O34" i="8" a="1"/>
  <c r="O34" i="8" s="1"/>
  <c r="P34" i="8" a="1"/>
  <c r="P34" i="8" s="1"/>
  <c r="N34" i="8" a="1"/>
  <c r="N34" i="8" s="1"/>
  <c r="T31" i="8" a="1"/>
  <c r="T31" i="8" s="1"/>
  <c r="U31" i="8" a="1"/>
  <c r="U31" i="8" s="1"/>
  <c r="V31" i="8" a="1"/>
  <c r="V31" i="8" s="1"/>
  <c r="I28" i="8" a="1"/>
  <c r="I28" i="8" s="1"/>
  <c r="J28" i="8" a="1"/>
  <c r="J28" i="8" s="1"/>
  <c r="F52" i="6"/>
  <c r="F20" i="6"/>
  <c r="F16" i="6"/>
  <c r="F51" i="6"/>
  <c r="F19" i="6"/>
  <c r="F15" i="6"/>
  <c r="J18" i="8" a="1"/>
  <c r="J18" i="8" s="1"/>
  <c r="H22" i="8" a="1"/>
  <c r="H22" i="8" s="1"/>
  <c r="I16" i="8" a="1"/>
  <c r="I16" i="8" s="1"/>
  <c r="H10" i="8" a="1"/>
  <c r="H10" i="8" s="1"/>
  <c r="J13" i="8" a="1"/>
  <c r="J13" i="8" s="1"/>
  <c r="I18" i="8" a="1"/>
  <c r="I18" i="8" s="1"/>
  <c r="H15" i="8" a="1"/>
  <c r="H15" i="8" s="1"/>
  <c r="J11" i="8" a="1"/>
  <c r="J11" i="8" s="1"/>
  <c r="H11" i="8" a="1"/>
  <c r="H11" i="8" s="1"/>
  <c r="H35" i="8" a="1"/>
  <c r="H35" i="8" s="1"/>
  <c r="H28" i="8" a="1"/>
  <c r="H28" i="8" s="1"/>
  <c r="H20" i="8" a="1"/>
  <c r="H20" i="8" s="1"/>
  <c r="I15" i="8" a="1"/>
  <c r="I15" i="8" s="1"/>
  <c r="H33" i="8" a="1"/>
  <c r="H33" i="8" s="1"/>
  <c r="J12" i="8" a="1"/>
  <c r="J12" i="8" s="1"/>
  <c r="H13" i="8" a="1"/>
  <c r="H13" i="8" s="1"/>
  <c r="J17" i="8" a="1"/>
  <c r="J17" i="8" s="1"/>
  <c r="H19" i="8" a="1"/>
  <c r="H19" i="8" s="1"/>
  <c r="J10" i="8" a="1"/>
  <c r="J10" i="8" s="1"/>
  <c r="H23" i="8" a="1"/>
  <c r="H23" i="8" s="1"/>
  <c r="J16" i="8" a="1"/>
  <c r="J16" i="8" s="1"/>
  <c r="H36" i="8" a="1"/>
  <c r="H36" i="8" s="1"/>
  <c r="H27" i="8" a="1"/>
  <c r="H27" i="8" s="1"/>
  <c r="H31" i="8" a="1"/>
  <c r="H31" i="8" s="1"/>
  <c r="J15" i="8" a="1"/>
  <c r="J15" i="8" s="1"/>
  <c r="H18" i="8" a="1"/>
  <c r="H18" i="8" s="1"/>
  <c r="H25" i="8" a="1"/>
  <c r="H25" i="8" s="1"/>
  <c r="H14" i="8" a="1"/>
  <c r="H14" i="8" s="1"/>
  <c r="H21" i="8" a="1"/>
  <c r="H21" i="8" s="1"/>
  <c r="I10" i="8" a="1"/>
  <c r="I10" i="8" s="1"/>
  <c r="H34" i="8" a="1"/>
  <c r="H34" i="8" s="1"/>
  <c r="I13" i="8" a="1"/>
  <c r="I13" i="8" s="1"/>
  <c r="H16" i="8" a="1"/>
  <c r="H16" i="8" s="1"/>
  <c r="I14" i="8" a="1"/>
  <c r="I14" i="8" s="1"/>
  <c r="J14" i="8" a="1"/>
  <c r="J14" i="8" s="1"/>
  <c r="H32" i="8" a="1"/>
  <c r="H32" i="8" s="1"/>
  <c r="I12" i="8" a="1"/>
  <c r="I12" i="8" s="1"/>
  <c r="H12" i="8" a="1"/>
  <c r="H12" i="8" s="1"/>
  <c r="H26" i="8" a="1"/>
  <c r="H26" i="8" s="1"/>
  <c r="H30" i="8" a="1"/>
  <c r="H30" i="8" s="1"/>
  <c r="I11" i="8" a="1"/>
  <c r="I11" i="8" s="1"/>
  <c r="H17" i="8" a="1"/>
  <c r="H17" i="8" s="1"/>
  <c r="H24" i="8" a="1"/>
  <c r="H24" i="8" s="1"/>
  <c r="I17" i="8" a="1"/>
  <c r="I17" i="8" s="1"/>
  <c r="H29" i="8" a="1"/>
  <c r="H29" i="8" s="1"/>
  <c r="AF62" i="8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<sst xmlns="http://schemas.openxmlformats.org/spreadsheetml/2006/main" count="4379" uniqueCount="232">
  <si>
    <t>Data for MB4R 6/9/12/16kW</t>
  </si>
  <si>
    <t>CHANGELOG</t>
  </si>
  <si>
    <t>Date</t>
  </si>
  <si>
    <t>Who?</t>
  </si>
  <si>
    <t>Description of modification</t>
  </si>
  <si>
    <t>Loïc Mochel</t>
  </si>
  <si>
    <t>Add cooling map</t>
  </si>
  <si>
    <t>Model</t>
  </si>
  <si>
    <t>For medium temperature application</t>
  </si>
  <si>
    <t>Outdoor unit</t>
  </si>
  <si>
    <t>Energy efficiency class</t>
  </si>
  <si>
    <t>Outdoor unit sound power</t>
  </si>
  <si>
    <t>average climate</t>
  </si>
  <si>
    <t>colder climate</t>
  </si>
  <si>
    <t>warmer climate</t>
  </si>
  <si>
    <t>Rated heat output</t>
  </si>
  <si>
    <t>Seasonal space heating energy efficiency</t>
  </si>
  <si>
    <t>For space heating,
annual energy consumption</t>
  </si>
  <si>
    <t>-</t>
  </si>
  <si>
    <t>dB</t>
  </si>
  <si>
    <t>kW</t>
  </si>
  <si>
    <t>%</t>
  </si>
  <si>
    <t>kWh</t>
  </si>
  <si>
    <t>BLW Mono 6.1</t>
  </si>
  <si>
    <t>A++</t>
  </si>
  <si>
    <t>BLW Mono 9.1</t>
  </si>
  <si>
    <t>MB4R 12kW T</t>
  </si>
  <si>
    <t>MB4R 16kW T</t>
  </si>
  <si>
    <t>For low temperature application</t>
  </si>
  <si>
    <t>A+++</t>
  </si>
  <si>
    <t>Condition</t>
  </si>
  <si>
    <t>Capacity
(kW)</t>
  </si>
  <si>
    <t>Power input
(kW)</t>
  </si>
  <si>
    <t>EER/COP
( / )</t>
  </si>
  <si>
    <t>Flowrate
(L/min)</t>
  </si>
  <si>
    <t>Values origin</t>
  </si>
  <si>
    <t>Source</t>
  </si>
  <si>
    <t>Ambient Temperature: 35/24
Water temperature: 12/7</t>
  </si>
  <si>
    <t>Simulation values</t>
  </si>
  <si>
    <t>Ambient Temperature: 35/24
Water temperature: 23/18</t>
  </si>
  <si>
    <t>Ambient Temperature: 7/6
Water temperature: 30/35</t>
  </si>
  <si>
    <t>Certified values</t>
  </si>
  <si>
    <t>Ambient Temperature: 2/1
Water temperature: 30/35</t>
  </si>
  <si>
    <t>Test results</t>
  </si>
  <si>
    <t>Ambient Temperature: -7/-8
Water temperature: 30/35</t>
  </si>
  <si>
    <t>Ambient Temperature: -10/??
Water temperature: 30/35</t>
  </si>
  <si>
    <t>Ancienne SREQ</t>
  </si>
  <si>
    <t>Ambient Temperature: 7/6
Water temperature: 40/45</t>
  </si>
  <si>
    <t>SREQ24-0019</t>
  </si>
  <si>
    <t>Ambient Temperature: 2/1
Water temperature: 40/45</t>
  </si>
  <si>
    <t>Ambient Temperature: -7/-8
Water temperature: 40/45</t>
  </si>
  <si>
    <t>Ambient Temperature: -10/??
Water temperature: 40/45</t>
  </si>
  <si>
    <t>Ambient Temperature: 7/6
Water temperature: 47/55</t>
  </si>
  <si>
    <t>Ambient Temperature: 2/1
Water temperature: 47/55</t>
  </si>
  <si>
    <t>Ambient Temperature: -7/-8
Water temperature: 47/55</t>
  </si>
  <si>
    <t>COFRAC tests</t>
  </si>
  <si>
    <t>KIWA tests</t>
  </si>
  <si>
    <t>Ambient Temperature: -10/??
Water temperature: 47/55</t>
  </si>
  <si>
    <t>Ambient Temperature: 7/6
Water temperature: 57/65</t>
  </si>
  <si>
    <t>Ambient Temperature: 2/1
Water temperature: 57/65</t>
  </si>
  <si>
    <t>Ambient Temperature: -7/-8
Water temperature: 57/65</t>
  </si>
  <si>
    <t>Ambient Temperature: -10/??
Water temperature: 57/65</t>
  </si>
  <si>
    <t>Certified data</t>
  </si>
  <si>
    <t>Product fiche</t>
  </si>
  <si>
    <t>Heat pump space heater</t>
  </si>
  <si>
    <t>Outdoor unit sound (*)</t>
  </si>
  <si>
    <t>Average climate low temperature application</t>
  </si>
  <si>
    <t>Average climate medium temperature application</t>
  </si>
  <si>
    <t>Capacity of the back-up heater integrated in the unit</t>
  </si>
  <si>
    <t>Psup back-up heater</t>
  </si>
  <si>
    <t>[kW]</t>
  </si>
  <si>
    <t>Space heating</t>
  </si>
  <si>
    <t>Energy efficiency class 35°C (Low temp. App.)</t>
  </si>
  <si>
    <t>Energy efficiency class 55°C (Medium temp. App.)</t>
  </si>
  <si>
    <t>Average climate (Design temperature = -10°C)</t>
  </si>
  <si>
    <t>Space heating 35°C</t>
  </si>
  <si>
    <t>Prated (declared heating capacity) @ -10°C</t>
  </si>
  <si>
    <t>Seasonal space heating efficiency (ηs)</t>
  </si>
  <si>
    <t>[%]</t>
  </si>
  <si>
    <t>Annual energy consumption</t>
  </si>
  <si>
    <t>[kWh]</t>
  </si>
  <si>
    <t>Space heating 55°C</t>
  </si>
  <si>
    <t>Part load conditions space heating average climate low temperature application</t>
  </si>
  <si>
    <t>(A) condition (-7°C)</t>
  </si>
  <si>
    <t>Pdh (declared heating capacity)</t>
  </si>
  <si>
    <t>COPd (declared COP)</t>
  </si>
  <si>
    <t>Cdh (degradation coefficient)</t>
  </si>
  <si>
    <t>(B) condition (2°C)</t>
  </si>
  <si>
    <t>(C) condition (7°C)</t>
  </si>
  <si>
    <t>(D) condition (12°C)</t>
  </si>
  <si>
    <t>(E) Tol (temperature operating limit)</t>
  </si>
  <si>
    <t>Tol (temperature operating limit)</t>
  </si>
  <si>
    <t>[°C]</t>
  </si>
  <si>
    <t>WTOL (Heating water Operation Limit)</t>
  </si>
  <si>
    <t>(F) Tbivalent temperature</t>
  </si>
  <si>
    <t>Tbiv</t>
  </si>
  <si>
    <t>Supplementary capacity at P_design</t>
  </si>
  <si>
    <t>Psup (@Tdesignh: -10°C)</t>
  </si>
  <si>
    <t>Part load conditions space heating average climate medium temperature application</t>
  </si>
  <si>
    <t>Colder climate (Design temperature = -22°C)</t>
  </si>
  <si>
    <t>Prated (declared heating capacity) @ -22°C</t>
  </si>
  <si>
    <t>Part load conditions space heating colder climate low temperature application</t>
  </si>
  <si>
    <t>Psup (@Tdesignh: -22°C)</t>
  </si>
  <si>
    <t>Part load conditions space heating colder climate medium temperature application</t>
  </si>
  <si>
    <t>Warmer climate (Design temperature = 2°C)</t>
  </si>
  <si>
    <t>Prated (declared heating capacity) @ 2°C</t>
  </si>
  <si>
    <t>Part load conditions space heating warmer climate low temperature application</t>
  </si>
  <si>
    <t>Psup (@Tdesignh: 2°C)</t>
  </si>
  <si>
    <t>Part load conditions space heating warmer climate medium temperature application</t>
  </si>
  <si>
    <t>Other informations</t>
  </si>
  <si>
    <t>Product description</t>
  </si>
  <si>
    <t>Air-to-water heat pump</t>
  </si>
  <si>
    <t>Y/N</t>
  </si>
  <si>
    <t>Yes</t>
  </si>
  <si>
    <t>Water-to-water heat pump</t>
  </si>
  <si>
    <t>No</t>
  </si>
  <si>
    <t>Brine-to-water heat pump</t>
  </si>
  <si>
    <t>Low-temperature heat pump</t>
  </si>
  <si>
    <t>Equipped with a supplementary heater</t>
  </si>
  <si>
    <t>Heat pump combination heater</t>
  </si>
  <si>
    <t>Yes ??</t>
  </si>
  <si>
    <t>Air to water unit</t>
  </si>
  <si>
    <t>Rated airflow (outdoor)</t>
  </si>
  <si>
    <t>[m3/h]</t>
  </si>
  <si>
    <t>??</t>
  </si>
  <si>
    <t>Brine/water to water unit</t>
  </si>
  <si>
    <t>Rated water/brine flow (outdoor H/E)</t>
  </si>
  <si>
    <t>/</t>
  </si>
  <si>
    <t>Other</t>
  </si>
  <si>
    <t>Capacity control</t>
  </si>
  <si>
    <t>Inverter</t>
  </si>
  <si>
    <t>Poff (Power consumption Off mode)</t>
  </si>
  <si>
    <t>Pto (Power consumption Thermostat off mode)</t>
  </si>
  <si>
    <t>Psb (Power consumption Standby mode)</t>
  </si>
  <si>
    <t>Pck (Power crankcase heater mode)</t>
  </si>
  <si>
    <t>Qelec (Daily electrical consumption)</t>
  </si>
  <si>
    <t>Qfuel (Daily fuel consumption)</t>
  </si>
  <si>
    <t>SREQ seasonal cooling 6 &amp; 9kW</t>
  </si>
  <si>
    <t>Heat pump space cooling</t>
  </si>
  <si>
    <t>Space cooling 7°C</t>
  </si>
  <si>
    <t>Prated (declared cooling capacity) @ 35C</t>
  </si>
  <si>
    <t>Seasonal space cooling efficiency (ηs)</t>
  </si>
  <si>
    <t>Space heating 18°C</t>
  </si>
  <si>
    <t>Prated (declared cooling capacity) @35°C</t>
  </si>
  <si>
    <t>Part load conditions space cooling: low temperature application @7°C</t>
  </si>
  <si>
    <t>(A) condition (35°C)</t>
  </si>
  <si>
    <t>Pdc (declared cooling capacity)</t>
  </si>
  <si>
    <t>EERd (declared EER)</t>
  </si>
  <si>
    <t>Cdc (degradation coefficient)</t>
  </si>
  <si>
    <t>(B) condition (30°C)</t>
  </si>
  <si>
    <t>(C) condition (25°C)</t>
  </si>
  <si>
    <t>(D) condition (20°C)</t>
  </si>
  <si>
    <t>Part load conditions space cooling: medium temperature application @18°C</t>
  </si>
  <si>
    <t>Definition of terms</t>
  </si>
  <si>
    <t>Max</t>
  </si>
  <si>
    <t>Performance at Maximum compressor frequency</t>
  </si>
  <si>
    <t>Best COP</t>
  </si>
  <si>
    <t>Performance at Maximum COP</t>
  </si>
  <si>
    <t>Min</t>
  </si>
  <si>
    <t>Performance at Minimum compressor frequency</t>
  </si>
  <si>
    <t>Water outlet temperature [°C]</t>
  </si>
  <si>
    <t>Ambient temperature [°C]</t>
  </si>
  <si>
    <t>Capacity
[kW]</t>
  </si>
  <si>
    <t>Power input
[kW]</t>
  </si>
  <si>
    <t>COP
[ / ]</t>
  </si>
  <si>
    <t>Max power</t>
  </si>
  <si>
    <t>Min power</t>
  </si>
  <si>
    <t>Heating mode</t>
  </si>
  <si>
    <t>Exterior temperature [°C]</t>
  </si>
  <si>
    <t>Heating water temperature [°C]</t>
  </si>
  <si>
    <t>Cooling mode</t>
  </si>
  <si>
    <t>Cooling water temperature [°C]</t>
  </si>
  <si>
    <t>Type</t>
  </si>
  <si>
    <t>T ext</t>
  </si>
  <si>
    <t>T water out</t>
  </si>
  <si>
    <t>COP / EER</t>
  </si>
  <si>
    <t>Flowrate [m3/h]</t>
  </si>
  <si>
    <t>Mode</t>
  </si>
  <si>
    <t>Results origin</t>
  </si>
  <si>
    <t>Priority</t>
  </si>
  <si>
    <t>Checksum</t>
  </si>
  <si>
    <t>Heating</t>
  </si>
  <si>
    <t>Step 2</t>
  </si>
  <si>
    <t>SREQ23-0063</t>
  </si>
  <si>
    <t>Redo</t>
  </si>
  <si>
    <t>N.A.</t>
  </si>
  <si>
    <t>Design book</t>
  </si>
  <si>
    <t>Design book - prio 1</t>
  </si>
  <si>
    <t>Test values</t>
  </si>
  <si>
    <t>Step 1</t>
  </si>
  <si>
    <t>HP Keymark</t>
  </si>
  <si>
    <t>Cooling</t>
  </si>
  <si>
    <t>SREQ23-0083</t>
  </si>
  <si>
    <t>SREQ23-0096</t>
  </si>
  <si>
    <t>Q [m3/h]</t>
  </si>
  <si>
    <t>Q [L/min]</t>
  </si>
  <si>
    <t>P [kPa] at 100%</t>
  </si>
  <si>
    <t>P [mWs] at 100%</t>
  </si>
  <si>
    <t>Nominal capacity [kW]</t>
  </si>
  <si>
    <t>nominal flow floor heating [m3/h]</t>
  </si>
  <si>
    <t>Nominal flow radiator [m3/h]</t>
  </si>
  <si>
    <t>Nominal flow high temperature [m3/h]</t>
  </si>
  <si>
    <t>Minimum flow [m3/h]</t>
  </si>
  <si>
    <t>Minimum flow [L/min]</t>
  </si>
  <si>
    <t>Maximum flow [m3/h]</t>
  </si>
  <si>
    <t>MB4R 6kW
PARA R 15-130/7-50/IPWM1-6</t>
  </si>
  <si>
    <t>TR22-0051</t>
  </si>
  <si>
    <t>MB4R 12kW</t>
  </si>
  <si>
    <t>MB4R 16kW</t>
  </si>
  <si>
    <t>MB4R 9kW
PARA R 15-130/8-75/IPWM1-6</t>
  </si>
  <si>
    <t>TR22-0059</t>
  </si>
  <si>
    <t>MB4R 12kW 
PARA R 25-130/8-87/iPWM1-6</t>
  </si>
  <si>
    <t>TR23-0219</t>
  </si>
  <si>
    <t>MB4R 16kW
PARA MAXO R 25-130-11 F21 U06</t>
  </si>
  <si>
    <t>TR23-0236</t>
  </si>
  <si>
    <t>Energie de dégivrage [kWh]</t>
  </si>
  <si>
    <t>Puissance dégivrage [kW]</t>
  </si>
  <si>
    <t>Débit eau [m3/h]</t>
  </si>
  <si>
    <t>Température minimum (de départ ou de retour)</t>
  </si>
  <si>
    <t>retour (20)</t>
  </si>
  <si>
    <t>voir avec Mathieu</t>
  </si>
  <si>
    <t>Capacity</t>
  </si>
  <si>
    <t>Power input</t>
  </si>
  <si>
    <t>COP</t>
  </si>
  <si>
    <t>Flowrate</t>
  </si>
  <si>
    <t>No value</t>
  </si>
  <si>
    <t>retour 20</t>
  </si>
  <si>
    <t>240802_150757</t>
  </si>
  <si>
    <t>20230621_1540</t>
  </si>
  <si>
    <r>
      <rPr>
        <b/>
        <sz val="11"/>
        <color rgb="FF000000"/>
        <rFont val="Calibri"/>
        <scheme val="minor"/>
      </rPr>
      <t>Valeur</t>
    </r>
    <r>
      <rPr>
        <b/>
        <u val="double"/>
        <sz val="11"/>
        <color rgb="FF000000"/>
        <rFont val="Calibri"/>
        <scheme val="minor"/>
      </rPr>
      <t xml:space="preserve"> en cooling </t>
    </r>
    <r>
      <rPr>
        <b/>
        <sz val="11"/>
        <color rgb="FF000000"/>
        <rFont val="Calibri"/>
        <scheme val="minor"/>
      </rPr>
      <t>pour un dégivrage a 2°C d'air</t>
    </r>
  </si>
  <si>
    <t>2023_06_21_MB4R_9kw_Defrost</t>
  </si>
  <si>
    <t>Defrost duration  [s] (compressor on defrost)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</si>
</sst>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  <font>
      <b/>
      <u val="double"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CE4D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indexed="64"/>
      </patternFill>
    </fill>
  </fills>
  <borders count="1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7" xfId="0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top" wrapText="1"/>
    </xf>
    <xf numFmtId="0" fontId="1" fillId="3" borderId="8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/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5" fillId="0" borderId="1" xfId="0" applyFont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17" xfId="0" applyBorder="1"/>
    <xf numFmtId="0" fontId="0" fillId="0" borderId="20" xfId="0" applyBorder="1"/>
    <xf numFmtId="0" fontId="0" fillId="0" borderId="18" xfId="0" applyBorder="1"/>
    <xf numFmtId="0" fontId="0" fillId="0" borderId="19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1" xfId="0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30" xfId="0" applyBorder="1"/>
    <xf numFmtId="0" fontId="0" fillId="0" borderId="15" xfId="0" applyBorder="1"/>
    <xf numFmtId="0" fontId="0" fillId="0" borderId="14" xfId="0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9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3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0" fillId="0" borderId="16" xfId="0" applyBorder="1"/>
    <xf numFmtId="0" fontId="0" fillId="0" borderId="42" xfId="0" applyBorder="1"/>
    <xf numFmtId="0" fontId="0" fillId="0" borderId="43" xfId="0" applyBorder="1"/>
    <xf numFmtId="0" fontId="0" fillId="0" borderId="44" xfId="0" applyBorder="1" applyAlignment="1">
      <alignment horizontal="center" vertical="center"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9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47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1" fillId="6" borderId="50" xfId="0" applyFont="1" applyFill="1" applyBorder="1" applyAlignment="1">
      <alignment horizontal="center"/>
    </xf>
    <xf numFmtId="0" fontId="0" fillId="5" borderId="51" xfId="0" applyFill="1" applyBorder="1" applyAlignment="1">
      <alignment horizontal="center"/>
    </xf>
    <xf numFmtId="2" fontId="0" fillId="0" borderId="52" xfId="0" applyNumberFormat="1" applyBorder="1" applyAlignment="1">
      <alignment horizontal="center"/>
    </xf>
    <xf numFmtId="2" fontId="0" fillId="0" borderId="53" xfId="0" applyNumberFormat="1" applyBorder="1" applyAlignment="1">
      <alignment horizontal="center"/>
    </xf>
    <xf numFmtId="2" fontId="0" fillId="0" borderId="54" xfId="0" applyNumberFormat="1" applyBorder="1" applyAlignment="1">
      <alignment horizontal="center"/>
    </xf>
    <xf numFmtId="2" fontId="0" fillId="0" borderId="55" xfId="0" applyNumberFormat="1" applyBorder="1" applyAlignment="1">
      <alignment horizontal="center"/>
    </xf>
    <xf numFmtId="2" fontId="0" fillId="0" borderId="56" xfId="0" applyNumberFormat="1" applyBorder="1" applyAlignment="1">
      <alignment horizontal="center"/>
    </xf>
    <xf numFmtId="2" fontId="0" fillId="0" borderId="57" xfId="0" applyNumberFormat="1" applyBorder="1" applyAlignment="1">
      <alignment horizontal="center"/>
    </xf>
    <xf numFmtId="2" fontId="0" fillId="0" borderId="58" xfId="0" applyNumberFormat="1" applyBorder="1" applyAlignment="1">
      <alignment horizontal="center"/>
    </xf>
    <xf numFmtId="2" fontId="0" fillId="0" borderId="59" xfId="0" applyNumberFormat="1" applyBorder="1" applyAlignment="1">
      <alignment horizontal="center"/>
    </xf>
    <xf numFmtId="2" fontId="0" fillId="0" borderId="6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4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43" xfId="0" applyNumberFormat="1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9" xfId="0" applyNumberFormat="1" applyBorder="1" applyAlignment="1">
      <alignment horizontal="center" vertical="center"/>
    </xf>
    <xf numFmtId="2" fontId="0" fillId="0" borderId="4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52" xfId="0" applyNumberFormat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2" fontId="0" fillId="0" borderId="48" xfId="0" applyNumberFormat="1" applyBorder="1" applyAlignment="1">
      <alignment horizontal="center"/>
    </xf>
    <xf numFmtId="2" fontId="0" fillId="0" borderId="49" xfId="0" applyNumberFormat="1" applyBorder="1" applyAlignment="1">
      <alignment horizontal="center"/>
    </xf>
    <xf numFmtId="2" fontId="0" fillId="0" borderId="64" xfId="0" applyNumberFormat="1" applyBorder="1" applyAlignment="1">
      <alignment horizontal="center" vertical="center"/>
    </xf>
    <xf numFmtId="2" fontId="0" fillId="0" borderId="61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64" xfId="0" applyNumberForma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0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54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65" xfId="0" applyFont="1" applyFill="1" applyBorder="1" applyAlignment="1">
      <alignment horizontal="center" vertical="center" wrapText="1"/>
    </xf>
    <xf numFmtId="0" fontId="1" fillId="3" borderId="66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68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 wrapText="1"/>
    </xf>
    <xf numFmtId="2" fontId="9" fillId="8" borderId="75" xfId="0" applyNumberFormat="1" applyFont="1" applyFill="1" applyBorder="1" applyAlignment="1">
      <alignment horizontal="center"/>
    </xf>
    <xf numFmtId="2" fontId="9" fillId="8" borderId="8" xfId="0" applyNumberFormat="1" applyFont="1" applyFill="1" applyBorder="1" applyAlignment="1">
      <alignment horizontal="center"/>
    </xf>
    <xf numFmtId="2" fontId="9" fillId="8" borderId="77" xfId="0" applyNumberFormat="1" applyFont="1" applyFill="1" applyBorder="1" applyAlignment="1">
      <alignment horizontal="center"/>
    </xf>
    <xf numFmtId="0" fontId="8" fillId="8" borderId="85" xfId="0" applyFont="1" applyFill="1" applyBorder="1" applyAlignment="1">
      <alignment horizontal="center" vertical="center" wrapText="1"/>
    </xf>
    <xf numFmtId="164" fontId="9" fillId="8" borderId="79" xfId="0" applyNumberFormat="1" applyFont="1" applyFill="1" applyBorder="1" applyAlignment="1">
      <alignment horizontal="center"/>
    </xf>
    <xf numFmtId="164" fontId="8" fillId="8" borderId="72" xfId="0" applyNumberFormat="1" applyFont="1" applyFill="1" applyBorder="1" applyAlignment="1">
      <alignment horizontal="center"/>
    </xf>
    <xf numFmtId="164" fontId="8" fillId="8" borderId="80" xfId="0" applyNumberFormat="1" applyFont="1" applyFill="1" applyBorder="1" applyAlignment="1">
      <alignment horizontal="center"/>
    </xf>
    <xf numFmtId="164" fontId="8" fillId="8" borderId="79" xfId="0" applyNumberFormat="1" applyFont="1" applyFill="1" applyBorder="1" applyAlignment="1">
      <alignment horizontal="center"/>
    </xf>
    <xf numFmtId="164" fontId="9" fillId="8" borderId="72" xfId="0" applyNumberFormat="1" applyFont="1" applyFill="1" applyBorder="1" applyAlignment="1">
      <alignment horizontal="center"/>
    </xf>
    <xf numFmtId="2" fontId="8" fillId="8" borderId="86" xfId="0" applyNumberFormat="1" applyFont="1" applyFill="1" applyBorder="1" applyAlignment="1">
      <alignment horizontal="center"/>
    </xf>
    <xf numFmtId="2" fontId="8" fillId="8" borderId="87" xfId="0" applyNumberFormat="1" applyFont="1" applyFill="1" applyBorder="1" applyAlignment="1">
      <alignment horizontal="center"/>
    </xf>
    <xf numFmtId="2" fontId="8" fillId="8" borderId="88" xfId="0" applyNumberFormat="1" applyFont="1" applyFill="1" applyBorder="1" applyAlignment="1">
      <alignment horizontal="center"/>
    </xf>
    <xf numFmtId="164" fontId="9" fillId="8" borderId="86" xfId="0" applyNumberFormat="1" applyFont="1" applyFill="1" applyBorder="1" applyAlignment="1">
      <alignment horizontal="center"/>
    </xf>
    <xf numFmtId="164" fontId="8" fillId="8" borderId="87" xfId="0" applyNumberFormat="1" applyFont="1" applyFill="1" applyBorder="1" applyAlignment="1">
      <alignment horizontal="center"/>
    </xf>
    <xf numFmtId="164" fontId="8" fillId="8" borderId="88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6" xfId="0" applyNumberFormat="1" applyBorder="1" applyAlignment="1">
      <alignment horizontal="center"/>
    </xf>
    <xf numFmtId="0" fontId="0" fillId="0" borderId="77" xfId="0" applyBorder="1" applyAlignment="1">
      <alignment horizontal="center"/>
    </xf>
    <xf numFmtId="2" fontId="0" fillId="0" borderId="77" xfId="0" applyNumberFormat="1" applyBorder="1" applyAlignment="1">
      <alignment horizontal="center"/>
    </xf>
    <xf numFmtId="2" fontId="0" fillId="0" borderId="78" xfId="0" applyNumberForma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73" xfId="0" applyBorder="1" applyAlignment="1">
      <alignment horizontal="center"/>
    </xf>
    <xf numFmtId="2" fontId="0" fillId="0" borderId="93" xfId="0" applyNumberFormat="1" applyBorder="1" applyAlignment="1">
      <alignment horizontal="center"/>
    </xf>
    <xf numFmtId="0" fontId="8" fillId="8" borderId="84" xfId="0" applyFont="1" applyFill="1" applyBorder="1" applyAlignment="1">
      <alignment horizontal="center" vertical="center" wrapText="1"/>
    </xf>
    <xf numFmtId="0" fontId="8" fillId="8" borderId="89" xfId="0" applyFont="1" applyFill="1" applyBorder="1" applyAlignment="1">
      <alignment horizontal="center" vertical="center" wrapText="1"/>
    </xf>
    <xf numFmtId="0" fontId="8" fillId="8" borderId="74" xfId="0" applyFont="1" applyFill="1" applyBorder="1" applyAlignment="1">
      <alignment horizontal="center" vertical="center" wrapText="1"/>
    </xf>
    <xf numFmtId="2" fontId="11" fillId="0" borderId="11" xfId="0" applyNumberFormat="1" applyFont="1" applyBorder="1" applyAlignment="1">
      <alignment horizontal="center"/>
    </xf>
    <xf numFmtId="2" fontId="11" fillId="0" borderId="46" xfId="0" applyNumberFormat="1" applyFont="1" applyBorder="1" applyAlignment="1">
      <alignment horizontal="center"/>
    </xf>
    <xf numFmtId="2" fontId="11" fillId="0" borderId="17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2" fontId="0" fillId="0" borderId="59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62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55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58" xfId="0" applyNumberFormat="1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2" fontId="0" fillId="0" borderId="62" xfId="0" applyNumberFormat="1" applyBorder="1" applyAlignment="1">
      <alignment horizontal="center"/>
    </xf>
    <xf numFmtId="2" fontId="0" fillId="0" borderId="63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4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97" xfId="0" applyNumberFormat="1" applyBorder="1" applyAlignment="1">
      <alignment horizontal="center"/>
    </xf>
    <xf numFmtId="2" fontId="0" fillId="2" borderId="97" xfId="0" applyNumberFormat="1" applyFill="1" applyBorder="1" applyAlignment="1">
      <alignment horizontal="center"/>
    </xf>
    <xf numFmtId="0" fontId="0" fillId="0" borderId="98" xfId="0" applyBorder="1"/>
    <xf numFmtId="0" fontId="0" fillId="2" borderId="99" xfId="0" applyFill="1" applyBorder="1"/>
    <xf numFmtId="0" fontId="0" fillId="0" borderId="99" xfId="0" applyBorder="1"/>
    <xf numFmtId="0" fontId="0" fillId="2" borderId="100" xfId="0" applyFill="1" applyBorder="1"/>
    <xf numFmtId="0" fontId="0" fillId="0" borderId="101" xfId="0" applyBorder="1"/>
    <xf numFmtId="2" fontId="0" fillId="0" borderId="102" xfId="0" applyNumberFormat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0" fontId="0" fillId="2" borderId="104" xfId="0" applyFill="1" applyBorder="1"/>
    <xf numFmtId="2" fontId="0" fillId="2" borderId="105" xfId="0" applyNumberFormat="1" applyFill="1" applyBorder="1" applyAlignment="1">
      <alignment horizontal="center"/>
    </xf>
    <xf numFmtId="2" fontId="0" fillId="2" borderId="20" xfId="0" applyNumberFormat="1" applyFill="1" applyBorder="1" applyAlignment="1">
      <alignment horizontal="center"/>
    </xf>
    <xf numFmtId="2" fontId="0" fillId="2" borderId="106" xfId="0" applyNumberFormat="1" applyFill="1" applyBorder="1" applyAlignment="1">
      <alignment horizontal="center"/>
    </xf>
    <xf numFmtId="2" fontId="0" fillId="0" borderId="107" xfId="0" applyNumberFormat="1" applyBorder="1" applyAlignment="1">
      <alignment horizontal="center"/>
    </xf>
    <xf numFmtId="2" fontId="0" fillId="2" borderId="36" xfId="0" applyNumberFormat="1" applyFill="1" applyBorder="1" applyAlignment="1">
      <alignment horizontal="center"/>
    </xf>
    <xf numFmtId="0" fontId="0" fillId="0" borderId="108" xfId="0" applyBorder="1"/>
    <xf numFmtId="2" fontId="0" fillId="0" borderId="109" xfId="0" applyNumberFormat="1" applyBorder="1" applyAlignment="1">
      <alignment horizontal="center"/>
    </xf>
    <xf numFmtId="0" fontId="0" fillId="2" borderId="110" xfId="0" applyFill="1" applyBorder="1"/>
    <xf numFmtId="2" fontId="0" fillId="2" borderId="56" xfId="0" applyNumberFormat="1" applyFill="1" applyBorder="1" applyAlignment="1">
      <alignment horizontal="center"/>
    </xf>
    <xf numFmtId="0" fontId="0" fillId="0" borderId="110" xfId="0" applyBorder="1"/>
    <xf numFmtId="0" fontId="0" fillId="2" borderId="111" xfId="0" applyFill="1" applyBorder="1"/>
    <xf numFmtId="2" fontId="0" fillId="2" borderId="112" xfId="0" applyNumberFormat="1" applyFill="1" applyBorder="1" applyAlignment="1">
      <alignment horizontal="center"/>
    </xf>
    <xf numFmtId="2" fontId="0" fillId="2" borderId="60" xfId="0" applyNumberFormat="1" applyFill="1" applyBorder="1" applyAlignment="1">
      <alignment horizontal="center"/>
    </xf>
    <xf numFmtId="0" fontId="6" fillId="0" borderId="0" xfId="1" applyAlignment="1">
      <alignment horizontal="center"/>
    </xf>
    <xf numFmtId="2" fontId="6" fillId="0" borderId="0" xfId="1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5" borderId="0" xfId="0" applyFill="1" applyAlignment="1">
      <alignment horizontal="center"/>
    </xf>
    <xf numFmtId="1" fontId="0" fillId="0" borderId="113" xfId="0" applyNumberFormat="1" applyBorder="1" applyAlignment="1">
      <alignment horizontal="center"/>
    </xf>
    <xf numFmtId="2" fontId="0" fillId="0" borderId="114" xfId="0" applyNumberFormat="1" applyBorder="1" applyAlignment="1">
      <alignment horizontal="center"/>
    </xf>
    <xf numFmtId="0" fontId="6" fillId="0" borderId="0" xfId="2" applyAlignment="1">
      <alignment horizontal="center"/>
    </xf>
    <xf numFmtId="164" fontId="10" fillId="9" borderId="118" xfId="0" applyNumberFormat="1" applyFont="1" applyFill="1" applyBorder="1" applyAlignment="1">
      <alignment horizontal="center"/>
    </xf>
    <xf numFmtId="164" fontId="10" fillId="9" borderId="119" xfId="0" applyNumberFormat="1" applyFont="1" applyFill="1" applyBorder="1" applyAlignment="1">
      <alignment horizontal="center"/>
    </xf>
    <xf numFmtId="164" fontId="10" fillId="9" borderId="120" xfId="0" applyNumberFormat="1" applyFont="1" applyFill="1" applyBorder="1" applyAlignment="1">
      <alignment horizontal="center"/>
    </xf>
    <xf numFmtId="0" fontId="8" fillId="8" borderId="121" xfId="0" applyFont="1" applyFill="1" applyBorder="1" applyAlignment="1">
      <alignment horizontal="center" vertical="center" wrapText="1"/>
    </xf>
    <xf numFmtId="164" fontId="10" fillId="9" borderId="8" xfId="0" applyNumberFormat="1" applyFont="1" applyFill="1" applyBorder="1" applyAlignment="1">
      <alignment horizontal="center"/>
    </xf>
    <xf numFmtId="0" fontId="8" fillId="8" borderId="122" xfId="0" applyFont="1" applyFill="1" applyBorder="1" applyAlignment="1">
      <alignment horizontal="center" vertical="center"/>
    </xf>
    <xf numFmtId="0" fontId="8" fillId="8" borderId="123" xfId="0" applyFont="1" applyFill="1" applyBorder="1" applyAlignment="1">
      <alignment horizontal="center" vertical="center"/>
    </xf>
    <xf numFmtId="164" fontId="10" fillId="9" borderId="75" xfId="0" applyNumberFormat="1" applyFont="1" applyFill="1" applyBorder="1" applyAlignment="1">
      <alignment horizontal="center"/>
    </xf>
    <xf numFmtId="164" fontId="10" fillId="9" borderId="77" xfId="0" applyNumberFormat="1" applyFont="1" applyFill="1" applyBorder="1" applyAlignment="1">
      <alignment horizontal="center"/>
    </xf>
    <xf numFmtId="164" fontId="9" fillId="8" borderId="80" xfId="0" applyNumberFormat="1" applyFont="1" applyFill="1" applyBorder="1" applyAlignment="1">
      <alignment horizontal="center"/>
    </xf>
    <xf numFmtId="2" fontId="0" fillId="0" borderId="1" xfId="0" applyNumberFormat="1" applyBorder="1"/>
    <xf numFmtId="0" fontId="0" fillId="0" borderId="124" xfId="0" applyBorder="1"/>
    <xf numFmtId="2" fontId="6" fillId="0" borderId="0" xfId="2" applyNumberFormat="1" applyAlignment="1">
      <alignment horizontal="center"/>
    </xf>
    <xf numFmtId="0" fontId="0" fillId="0" borderId="125" xfId="0" applyBorder="1"/>
    <xf numFmtId="2" fontId="6" fillId="0" borderId="0" xfId="2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0" borderId="97" xfId="0" applyBorder="1"/>
    <xf numFmtId="0" fontId="0" fillId="0" borderId="97" xfId="0" applyBorder="1" applyAlignment="1">
      <alignment horizontal="center"/>
    </xf>
    <xf numFmtId="0" fontId="12" fillId="0" borderId="97" xfId="0" applyFont="1" applyBorder="1" applyAlignment="1">
      <alignment horizontal="center"/>
    </xf>
    <xf numFmtId="0" fontId="12" fillId="0" borderId="0" xfId="0" applyFont="1"/>
    <xf numFmtId="1" fontId="0" fillId="0" borderId="97" xfId="0" applyNumberFormat="1" applyBorder="1" applyAlignment="1">
      <alignment horizontal="center"/>
    </xf>
    <xf numFmtId="164" fontId="0" fillId="0" borderId="97" xfId="0" applyNumberFormat="1" applyBorder="1" applyAlignment="1">
      <alignment horizontal="center"/>
    </xf>
    <xf numFmtId="0" fontId="0" fillId="10" borderId="97" xfId="0" applyFill="1" applyBorder="1" applyAlignment="1">
      <alignment horizontal="center"/>
    </xf>
    <xf numFmtId="0" fontId="8" fillId="0" borderId="0" xfId="0" applyFont="1"/>
    <xf numFmtId="164" fontId="0" fillId="10" borderId="97" xfId="0" applyNumberFormat="1" applyFill="1" applyBorder="1" applyAlignment="1">
      <alignment horizontal="center"/>
    </xf>
    <xf numFmtId="2" fontId="5" fillId="0" borderId="0" xfId="0" applyNumberFormat="1" applyFont="1"/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0" fillId="0" borderId="70" xfId="0" applyBorder="1" applyAlignment="1">
      <alignment horizontal="left" vertical="center" wrapText="1"/>
    </xf>
    <xf numFmtId="0" fontId="0" fillId="0" borderId="103" xfId="0" applyBorder="1" applyAlignment="1">
      <alignment horizontal="left" vertical="center" wrapText="1"/>
    </xf>
    <xf numFmtId="0" fontId="0" fillId="2" borderId="70" xfId="0" applyFill="1" applyBorder="1" applyAlignment="1">
      <alignment horizontal="left" vertical="center" wrapText="1"/>
    </xf>
    <xf numFmtId="0" fontId="0" fillId="2" borderId="103" xfId="0" applyFill="1" applyBorder="1" applyAlignment="1">
      <alignment horizontal="left" vertical="center" wrapText="1"/>
    </xf>
    <xf numFmtId="0" fontId="0" fillId="0" borderId="94" xfId="0" applyBorder="1" applyAlignment="1">
      <alignment horizontal="left" vertical="center" wrapText="1"/>
    </xf>
    <xf numFmtId="0" fontId="0" fillId="0" borderId="95" xfId="0" applyBorder="1" applyAlignment="1">
      <alignment horizontal="left" vertical="center" wrapText="1"/>
    </xf>
    <xf numFmtId="0" fontId="0" fillId="0" borderId="96" xfId="0" applyBorder="1" applyAlignment="1">
      <alignment horizontal="left" vertical="center" wrapText="1"/>
    </xf>
    <xf numFmtId="0" fontId="0" fillId="2" borderId="69" xfId="0" applyFill="1" applyBorder="1" applyAlignment="1">
      <alignment horizontal="left" vertical="center" wrapText="1"/>
    </xf>
    <xf numFmtId="0" fontId="0" fillId="2" borderId="94" xfId="0" applyFill="1" applyBorder="1" applyAlignment="1">
      <alignment horizontal="left" vertical="center" wrapText="1"/>
    </xf>
    <xf numFmtId="0" fontId="0" fillId="2" borderId="95" xfId="0" applyFill="1" applyBorder="1" applyAlignment="1">
      <alignment horizontal="left" vertical="center" wrapText="1"/>
    </xf>
    <xf numFmtId="0" fontId="0" fillId="2" borderId="96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9" xfId="0" applyFont="1" applyFill="1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8" fillId="7" borderId="81" xfId="0" applyFont="1" applyFill="1" applyBorder="1" applyAlignment="1">
      <alignment horizontal="center" vertical="center" textRotation="90" wrapText="1"/>
    </xf>
    <xf numFmtId="0" fontId="8" fillId="7" borderId="82" xfId="0" applyFont="1" applyFill="1" applyBorder="1" applyAlignment="1">
      <alignment horizontal="center" vertical="center" textRotation="90" wrapText="1"/>
    </xf>
    <xf numFmtId="0" fontId="8" fillId="7" borderId="83" xfId="0" applyFont="1" applyFill="1" applyBorder="1" applyAlignment="1">
      <alignment horizontal="center" vertical="center" textRotation="90" wrapText="1"/>
    </xf>
    <xf numFmtId="0" fontId="0" fillId="0" borderId="115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8" fillId="7" borderId="82" xfId="0" applyFont="1" applyFill="1" applyBorder="1" applyAlignment="1">
      <alignment horizontal="center" vertical="center" textRotation="90"/>
    </xf>
    <xf numFmtId="0" fontId="8" fillId="7" borderId="83" xfId="0" applyFont="1" applyFill="1" applyBorder="1" applyAlignment="1">
      <alignment horizontal="center" vertical="center" textRotation="90"/>
    </xf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6kW heating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capacity @W35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data'!$D$10:$D$18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data'!$H$10:$H$18</c:f>
              <c:numCache>
                <c:formatCode>0.00</c:formatCode>
                <c:ptCount val="9"/>
                <c:pt idx="0">
                  <c:v>3.3883794661585598</c:v>
                </c:pt>
                <c:pt idx="1">
                  <c:v>4.1958971529614004</c:v>
                </c:pt>
                <c:pt idx="2">
                  <c:v>5.1869464147613202</c:v>
                </c:pt>
                <c:pt idx="3">
                  <c:v>5.7171491600255004</c:v>
                </c:pt>
                <c:pt idx="4">
                  <c:v>7.1715569733933275</c:v>
                </c:pt>
                <c:pt idx="5">
                  <c:v>7.1713719383660539</c:v>
                </c:pt>
                <c:pt idx="6">
                  <c:v>7.1713581089173859</c:v>
                </c:pt>
                <c:pt idx="7">
                  <c:v>7.1716114996271667</c:v>
                </c:pt>
                <c:pt idx="8">
                  <c:v>7.1714161850342215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2-41EF-B713-FAFFE6A52FE6}"/>
            </c:ext>
          </c:extLst>
        </c:ser>
        <c:ser>
          <c:idx val="1"/>
          <c:order val="1"/>
          <c:tx>
            <c:v>Max capacity @W55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data'!$D$10:$D$18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data'!$T$10:$T$18</c:f>
              <c:numCache>
                <c:formatCode>0.00</c:formatCode>
                <c:ptCount val="9"/>
                <c:pt idx="0">
                  <c:v>3.3149396764039998</c:v>
                </c:pt>
                <c:pt idx="1">
                  <c:v>4.02655547762319</c:v>
                </c:pt>
                <c:pt idx="2">
                  <c:v>4.8867430437071402</c:v>
                </c:pt>
                <c:pt idx="3">
                  <c:v>5.3309494127138892</c:v>
                </c:pt>
                <c:pt idx="4">
                  <c:v>6.8404376970385998</c:v>
                </c:pt>
                <c:pt idx="5">
                  <c:v>7.1806672905377553</c:v>
                </c:pt>
                <c:pt idx="6">
                  <c:v>7.1806970140248136</c:v>
                </c:pt>
                <c:pt idx="7">
                  <c:v>7.1806011366308837</c:v>
                </c:pt>
                <c:pt idx="8">
                  <c:v>7.1806940658831415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A2-41EF-B713-FAFFE6A52FE6}"/>
            </c:ext>
          </c:extLst>
        </c:ser>
        <c:ser>
          <c:idx val="2"/>
          <c:order val="2"/>
          <c:tx>
            <c:v>Min capacity @W35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data'!$D$28:$D$36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data'!$H$28:$H$36</c:f>
              <c:numCache>
                <c:formatCode>0.00</c:formatCode>
                <c:ptCount val="9"/>
                <c:pt idx="0">
                  <c:v>1.188742</c:v>
                </c:pt>
                <c:pt idx="1">
                  <c:v>1.49928844045194</c:v>
                </c:pt>
                <c:pt idx="2">
                  <c:v>1.6311822106870899</c:v>
                </c:pt>
                <c:pt idx="3">
                  <c:v>1.5602695549155601</c:v>
                </c:pt>
                <c:pt idx="4">
                  <c:v>1.5568396275471099</c:v>
                </c:pt>
                <c:pt idx="5">
                  <c:v>1.6514102937063602</c:v>
                </c:pt>
                <c:pt idx="6">
                  <c:v>1.91590008949529</c:v>
                </c:pt>
                <c:pt idx="7">
                  <c:v>2.0972111107687703</c:v>
                </c:pt>
                <c:pt idx="8">
                  <c:v>2.4131695509251401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A2-41EF-B713-FAFFE6A52FE6}"/>
            </c:ext>
          </c:extLst>
        </c:ser>
        <c:ser>
          <c:idx val="3"/>
          <c:order val="3"/>
          <c:tx>
            <c:v>Min capacity @W55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data'!$D$28:$D$36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data'!$T$28:$T$36</c:f>
              <c:numCache>
                <c:formatCode>0.00</c:formatCode>
                <c:ptCount val="9"/>
                <c:pt idx="0">
                  <c:v>1.0906260000000001</c:v>
                </c:pt>
                <c:pt idx="1">
                  <c:v>1.4045627082807199</c:v>
                </c:pt>
                <c:pt idx="2">
                  <c:v>1.5535773697209199</c:v>
                </c:pt>
                <c:pt idx="3">
                  <c:v>1.5047779309781499</c:v>
                </c:pt>
                <c:pt idx="4">
                  <c:v>1.51260840509883</c:v>
                </c:pt>
                <c:pt idx="5">
                  <c:v>1.5752541650435801</c:v>
                </c:pt>
                <c:pt idx="6">
                  <c:v>1.9521034499167198</c:v>
                </c:pt>
                <c:pt idx="7">
                  <c:v>2.10760296408121</c:v>
                </c:pt>
                <c:pt idx="8">
                  <c:v>2.3869084969590797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A2-41EF-B713-FAFFE6A52FE6}"/>
            </c:ext>
          </c:extLst>
        </c:ser>
        <c:ser>
          <c:idx val="4"/>
          <c:order val="4"/>
          <c:tx>
            <c:v>Nominal capacity @W35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'Heating performance data'!$D$19:$D$27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data'!$H$19:$H$27</c:f>
              <c:numCache>
                <c:formatCode>0.00</c:formatCode>
                <c:ptCount val="9"/>
                <c:pt idx="0">
                  <c:v>2.62524362263138</c:v>
                </c:pt>
                <c:pt idx="1">
                  <c:v>2.6742057917375699</c:v>
                </c:pt>
                <c:pt idx="2">
                  <c:v>2.9162568159699398</c:v>
                </c:pt>
                <c:pt idx="3">
                  <c:v>3.2318049951949201</c:v>
                </c:pt>
                <c:pt idx="4">
                  <c:v>3.8962378738577801</c:v>
                </c:pt>
                <c:pt idx="5">
                  <c:v>4.0479888043663399</c:v>
                </c:pt>
                <c:pt idx="6">
                  <c:v>4.1216787749361998</c:v>
                </c:pt>
                <c:pt idx="7">
                  <c:v>3.9091148051452302</c:v>
                </c:pt>
                <c:pt idx="8">
                  <c:v>3.41882737188857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A2-41EF-B713-FAFFE6A52FE6}"/>
            </c:ext>
          </c:extLst>
        </c:ser>
        <c:ser>
          <c:idx val="5"/>
          <c:order val="5"/>
          <c:tx>
            <c:v>Nominal capacity @W55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'Heating performance data'!$D$19:$D$27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data'!$T$19:$T$27</c:f>
              <c:numCache>
                <c:formatCode>0.00</c:formatCode>
                <c:ptCount val="9"/>
                <c:pt idx="0">
                  <c:v>2.7584830804814402</c:v>
                </c:pt>
                <c:pt idx="1">
                  <c:v>3.2593423588422303</c:v>
                </c:pt>
                <c:pt idx="2">
                  <c:v>3.82572556016714</c:v>
                </c:pt>
                <c:pt idx="3">
                  <c:v>3.6012093077799801</c:v>
                </c:pt>
                <c:pt idx="4">
                  <c:v>3.9732273691731299</c:v>
                </c:pt>
                <c:pt idx="5">
                  <c:v>4.1476688986213803</c:v>
                </c:pt>
                <c:pt idx="6">
                  <c:v>4.26232836001099</c:v>
                </c:pt>
                <c:pt idx="7">
                  <c:v>4.0704018314353894</c:v>
                </c:pt>
                <c:pt idx="8">
                  <c:v>3.9748225365201804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A2-41EF-B713-FAFFE6A52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65488"/>
        <c:axId val="751362128"/>
      </c:scatterChart>
      <c:valAx>
        <c:axId val="751365488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2128"/>
        <c:crosses val="autoZero"/>
        <c:crossBetween val="midCat"/>
      </c:valAx>
      <c:valAx>
        <c:axId val="7513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5488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6kW input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capacity @W35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data'!$D$10:$D$18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data'!$I$10:$I$18</c:f>
              <c:numCache>
                <c:formatCode>0.00</c:formatCode>
                <c:ptCount val="9"/>
                <c:pt idx="0">
                  <c:v>1.6980360405237531</c:v>
                </c:pt>
                <c:pt idx="1">
                  <c:v>1.858697464657534</c:v>
                </c:pt>
                <c:pt idx="2">
                  <c:v>2.0252217223557532</c:v>
                </c:pt>
                <c:pt idx="3">
                  <c:v>2.0695466235182161</c:v>
                </c:pt>
                <c:pt idx="4">
                  <c:v>2.0720486403737577</c:v>
                </c:pt>
                <c:pt idx="5">
                  <c:v>1.775859990778204</c:v>
                </c:pt>
                <c:pt idx="6">
                  <c:v>1.4766010973706836</c:v>
                </c:pt>
                <c:pt idx="7">
                  <c:v>1.4063828665427165</c:v>
                </c:pt>
                <c:pt idx="8">
                  <c:v>1.2281387323341948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D-4D63-9E7D-0845CFBC0080}"/>
            </c:ext>
          </c:extLst>
        </c:ser>
        <c:ser>
          <c:idx val="1"/>
          <c:order val="1"/>
          <c:tx>
            <c:v>Max capacity @W55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data'!$D$10:$D$18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data'!$U$10:$U$18</c:f>
              <c:numCache>
                <c:formatCode>0.00</c:formatCode>
                <c:ptCount val="9"/>
                <c:pt idx="0">
                  <c:v>2.0987263517028358</c:v>
                </c:pt>
                <c:pt idx="1">
                  <c:v>2.3063165457620713</c:v>
                </c:pt>
                <c:pt idx="2">
                  <c:v>2.5327421666262508</c:v>
                </c:pt>
                <c:pt idx="3">
                  <c:v>2.6042327048248657</c:v>
                </c:pt>
                <c:pt idx="4">
                  <c:v>2.7848312911823103</c:v>
                </c:pt>
                <c:pt idx="5">
                  <c:v>2.6358669364792999</c:v>
                </c:pt>
                <c:pt idx="6">
                  <c:v>2.2995370930540977</c:v>
                </c:pt>
                <c:pt idx="7">
                  <c:v>2.2136647128093263</c:v>
                </c:pt>
                <c:pt idx="8">
                  <c:v>1.9616755738643326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FD-4D63-9E7D-0845CFBC0080}"/>
            </c:ext>
          </c:extLst>
        </c:ser>
        <c:ser>
          <c:idx val="2"/>
          <c:order val="2"/>
          <c:tx>
            <c:v>Min capacity @W35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data'!$D$28:$D$36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data'!$I$28:$I$36</c:f>
              <c:numCache>
                <c:formatCode>0.00</c:formatCode>
                <c:ptCount val="9"/>
                <c:pt idx="0">
                  <c:v>0.674956</c:v>
                </c:pt>
                <c:pt idx="1">
                  <c:v>0.70084212502465082</c:v>
                </c:pt>
                <c:pt idx="2">
                  <c:v>0.66530640070571301</c:v>
                </c:pt>
                <c:pt idx="3">
                  <c:v>0.60528013561686234</c:v>
                </c:pt>
                <c:pt idx="4">
                  <c:v>0.50396463204368325</c:v>
                </c:pt>
                <c:pt idx="5">
                  <c:v>0.42669982787598143</c:v>
                </c:pt>
                <c:pt idx="6">
                  <c:v>0.38791669692210062</c:v>
                </c:pt>
                <c:pt idx="7">
                  <c:v>0.3735514418419984</c:v>
                </c:pt>
                <c:pt idx="8">
                  <c:v>0.36102459852455909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FD-4D63-9E7D-0845CFBC0080}"/>
            </c:ext>
          </c:extLst>
        </c:ser>
        <c:ser>
          <c:idx val="3"/>
          <c:order val="3"/>
          <c:tx>
            <c:v>Min capacity @W55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data'!$D$28:$D$36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data'!$U$28:$U$36</c:f>
              <c:numCache>
                <c:formatCode>0.00</c:formatCode>
                <c:ptCount val="9"/>
                <c:pt idx="0">
                  <c:v>0.90028900000000001</c:v>
                </c:pt>
                <c:pt idx="1">
                  <c:v>0.94449079987809248</c:v>
                </c:pt>
                <c:pt idx="2">
                  <c:v>0.91193768598588987</c:v>
                </c:pt>
                <c:pt idx="3">
                  <c:v>0.84188218985618124</c:v>
                </c:pt>
                <c:pt idx="4">
                  <c:v>0.72735950624137002</c:v>
                </c:pt>
                <c:pt idx="5">
                  <c:v>0.64124378370441637</c:v>
                </c:pt>
                <c:pt idx="6">
                  <c:v>0.65795087640588024</c:v>
                </c:pt>
                <c:pt idx="7">
                  <c:v>0.64776587346491854</c:v>
                </c:pt>
                <c:pt idx="8">
                  <c:v>0.64201997101308594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FD-4D63-9E7D-0845CFBC0080}"/>
            </c:ext>
          </c:extLst>
        </c:ser>
        <c:ser>
          <c:idx val="4"/>
          <c:order val="4"/>
          <c:tx>
            <c:v>Nominal capacity @W35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'Heating performance data'!$D$19:$D$27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data'!$I$19:$I$27</c:f>
              <c:numCache>
                <c:formatCode>0.00</c:formatCode>
                <c:ptCount val="9"/>
                <c:pt idx="0">
                  <c:v>1.3090213820868961</c:v>
                </c:pt>
                <c:pt idx="1">
                  <c:v>1.1557155730810171</c:v>
                </c:pt>
                <c:pt idx="2">
                  <c:v>1.0903660205583063</c:v>
                </c:pt>
                <c:pt idx="3">
                  <c:v>1.1094697570662189</c:v>
                </c:pt>
                <c:pt idx="4">
                  <c:v>1.0360399607159625</c:v>
                </c:pt>
                <c:pt idx="5">
                  <c:v>0.90585487564151257</c:v>
                </c:pt>
                <c:pt idx="6">
                  <c:v>0.76439148696080783</c:v>
                </c:pt>
                <c:pt idx="7">
                  <c:v>0.65540390296652495</c:v>
                </c:pt>
                <c:pt idx="8">
                  <c:v>0.502987656052445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FD-4D63-9E7D-0845CFBC0080}"/>
            </c:ext>
          </c:extLst>
        </c:ser>
        <c:ser>
          <c:idx val="5"/>
          <c:order val="5"/>
          <c:tx>
            <c:v>Nominal capacity @W55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'Heating performance data'!$D$19:$D$27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data'!$U$19:$U$27</c:f>
              <c:numCache>
                <c:formatCode>0.00</c:formatCode>
                <c:ptCount val="9"/>
                <c:pt idx="0">
                  <c:v>1.7903498601975449</c:v>
                </c:pt>
                <c:pt idx="1">
                  <c:v>1.8994063059329482</c:v>
                </c:pt>
                <c:pt idx="2">
                  <c:v>1.9934963888610195</c:v>
                </c:pt>
                <c:pt idx="3">
                  <c:v>1.7494131033649369</c:v>
                </c:pt>
                <c:pt idx="4">
                  <c:v>1.5574307893011619</c:v>
                </c:pt>
                <c:pt idx="5">
                  <c:v>1.417454456091088</c:v>
                </c:pt>
                <c:pt idx="6">
                  <c:v>1.2625468176350572</c:v>
                </c:pt>
                <c:pt idx="7">
                  <c:v>1.1171412074649085</c:v>
                </c:pt>
                <c:pt idx="8">
                  <c:v>0.98795056455623198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FD-4D63-9E7D-0845CFBC0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65488"/>
        <c:axId val="751362128"/>
      </c:scatterChart>
      <c:valAx>
        <c:axId val="751365488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2128"/>
        <c:crosses val="autoZero"/>
        <c:crossBetween val="midCat"/>
      </c:valAx>
      <c:valAx>
        <c:axId val="7513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5488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6kW COP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capacity @W35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data'!$D$10:$D$18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data'!$J$10:$J$18</c:f>
              <c:numCache>
                <c:formatCode>0.00</c:formatCode>
                <c:ptCount val="9"/>
                <c:pt idx="0">
                  <c:v>1.97970389521681</c:v>
                </c:pt>
                <c:pt idx="1">
                  <c:v>2.2396745582884101</c:v>
                </c:pt>
                <c:pt idx="2">
                  <c:v>2.5442955014391702</c:v>
                </c:pt>
                <c:pt idx="3">
                  <c:v>2.7479528590423699</c:v>
                </c:pt>
                <c:pt idx="4">
                  <c:v>3.4161178664649641</c:v>
                </c:pt>
                <c:pt idx="5">
                  <c:v>3.9746010126967564</c:v>
                </c:pt>
                <c:pt idx="6">
                  <c:v>4.761251100822026</c:v>
                </c:pt>
                <c:pt idx="7">
                  <c:v>4.993044990537113</c:v>
                </c:pt>
                <c:pt idx="8">
                  <c:v>5.6973450768258331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26-44F9-A885-DDB9F6551442}"/>
            </c:ext>
          </c:extLst>
        </c:ser>
        <c:ser>
          <c:idx val="1"/>
          <c:order val="1"/>
          <c:tx>
            <c:v>Max capacity @W55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data'!$D$10:$D$18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data'!$V$10:$V$18</c:f>
              <c:numCache>
                <c:formatCode>0.00</c:formatCode>
                <c:ptCount val="9"/>
                <c:pt idx="0">
                  <c:v>1.57226669769627</c:v>
                </c:pt>
                <c:pt idx="1">
                  <c:v>1.7377192921457301</c:v>
                </c:pt>
                <c:pt idx="2">
                  <c:v>1.9196964692140699</c:v>
                </c:pt>
                <c:pt idx="3">
                  <c:v>2.0362752121518701</c:v>
                </c:pt>
                <c:pt idx="4">
                  <c:v>2.4428292256784898</c:v>
                </c:pt>
                <c:pt idx="5">
                  <c:v>2.7079322618546184</c:v>
                </c:pt>
                <c:pt idx="6">
                  <c:v>3.1000754978310288</c:v>
                </c:pt>
                <c:pt idx="7">
                  <c:v>3.2191118822406359</c:v>
                </c:pt>
                <c:pt idx="8">
                  <c:v>3.6278139523635402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26-44F9-A885-DDB9F6551442}"/>
            </c:ext>
          </c:extLst>
        </c:ser>
        <c:ser>
          <c:idx val="2"/>
          <c:order val="2"/>
          <c:tx>
            <c:v>Min capacity @W35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data'!$D$28:$D$36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data'!$J$28:$J$36</c:f>
              <c:numCache>
                <c:formatCode>0.00</c:formatCode>
                <c:ptCount val="9"/>
                <c:pt idx="0">
                  <c:v>1.7612140000000001</c:v>
                </c:pt>
                <c:pt idx="1">
                  <c:v>2.1392670145208599</c:v>
                </c:pt>
                <c:pt idx="2">
                  <c:v>2.4517759170163398</c:v>
                </c:pt>
                <c:pt idx="3">
                  <c:v>2.5777643492718201</c:v>
                </c:pt>
                <c:pt idx="4">
                  <c:v>3.0891842969888499</c:v>
                </c:pt>
                <c:pt idx="5">
                  <c:v>3.8701920784142798</c:v>
                </c:pt>
                <c:pt idx="6">
                  <c:v>4.9389472139169897</c:v>
                </c:pt>
                <c:pt idx="7">
                  <c:v>5.6142498083458898</c:v>
                </c:pt>
                <c:pt idx="8">
                  <c:v>6.6842247336810798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26-44F9-A885-DDB9F6551442}"/>
            </c:ext>
          </c:extLst>
        </c:ser>
        <c:ser>
          <c:idx val="3"/>
          <c:order val="3"/>
          <c:tx>
            <c:v>Min capacity @W55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data'!$D$28:$D$36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data'!$V$28:$V$36</c:f>
              <c:numCache>
                <c:formatCode>0.00</c:formatCode>
                <c:ptCount val="9"/>
                <c:pt idx="0">
                  <c:v>1.211419</c:v>
                </c:pt>
                <c:pt idx="1">
                  <c:v>1.4871110533443099</c:v>
                </c:pt>
                <c:pt idx="2">
                  <c:v>1.7036003595370199</c:v>
                </c:pt>
                <c:pt idx="3">
                  <c:v>1.7873972737625099</c:v>
                </c:pt>
                <c:pt idx="4">
                  <c:v>2.0795884182709501</c:v>
                </c:pt>
                <c:pt idx="5">
                  <c:v>2.4565605235866101</c:v>
                </c:pt>
                <c:pt idx="6">
                  <c:v>2.9669440681958998</c:v>
                </c:pt>
                <c:pt idx="7">
                  <c:v>3.2536492742471599</c:v>
                </c:pt>
                <c:pt idx="8">
                  <c:v>3.7178103559498599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26-44F9-A885-DDB9F6551442}"/>
            </c:ext>
          </c:extLst>
        </c:ser>
        <c:ser>
          <c:idx val="4"/>
          <c:order val="4"/>
          <c:tx>
            <c:v>Nominal capacity @W35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'Heating performance data'!$D$19:$D$27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data'!$J$19:$J$27</c:f>
              <c:numCache>
                <c:formatCode>0.00</c:formatCode>
                <c:ptCount val="9"/>
                <c:pt idx="0">
                  <c:v>2.00550094792654</c:v>
                </c:pt>
                <c:pt idx="1">
                  <c:v>2.3138961298309901</c:v>
                </c:pt>
                <c:pt idx="2">
                  <c:v>2.6745668527681299</c:v>
                </c:pt>
                <c:pt idx="3">
                  <c:v>2.9129275265157402</c:v>
                </c:pt>
                <c:pt idx="4">
                  <c:v>3.7607023103290902</c:v>
                </c:pt>
                <c:pt idx="5">
                  <c:v>4.4686946145756696</c:v>
                </c:pt>
                <c:pt idx="6">
                  <c:v>5.3921044978193597</c:v>
                </c:pt>
                <c:pt idx="7">
                  <c:v>5.9644362620539502</c:v>
                </c:pt>
                <c:pt idx="8">
                  <c:v>6.7970403065559504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26-44F9-A885-DDB9F6551442}"/>
            </c:ext>
          </c:extLst>
        </c:ser>
        <c:ser>
          <c:idx val="5"/>
          <c:order val="5"/>
          <c:tx>
            <c:v>Nominal capacity @W55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'Heating performance data'!$D$19:$D$27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data'!$V$19:$V$27</c:f>
              <c:numCache>
                <c:formatCode>0.00</c:formatCode>
                <c:ptCount val="9"/>
                <c:pt idx="0">
                  <c:v>1.54075085647063</c:v>
                </c:pt>
                <c:pt idx="1">
                  <c:v>1.7159795398495901</c:v>
                </c:pt>
                <c:pt idx="2">
                  <c:v>1.91910333098369</c:v>
                </c:pt>
                <c:pt idx="3">
                  <c:v>2.05852425642244</c:v>
                </c:pt>
                <c:pt idx="4">
                  <c:v>2.5511421736794899</c:v>
                </c:pt>
                <c:pt idx="5">
                  <c:v>2.9261390944859</c:v>
                </c:pt>
                <c:pt idx="6">
                  <c:v>3.3759764790306801</c:v>
                </c:pt>
                <c:pt idx="7">
                  <c:v>3.6435875825153898</c:v>
                </c:pt>
                <c:pt idx="8">
                  <c:v>4.0233010427050999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26-44F9-A885-DDB9F6551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65488"/>
        <c:axId val="751362128"/>
      </c:scatterChart>
      <c:valAx>
        <c:axId val="751365488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2128"/>
        <c:crosses val="autoZero"/>
        <c:crossBetween val="midCat"/>
      </c:valAx>
      <c:valAx>
        <c:axId val="7513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5488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9kW heating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capacity @W35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data'!$D$37:$D$45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data'!$H$37:$H$45</c:f>
              <c:numCache>
                <c:formatCode>0.00</c:formatCode>
                <c:ptCount val="9"/>
                <c:pt idx="0">
                  <c:v>5.6343046530577201</c:v>
                </c:pt>
                <c:pt idx="1">
                  <c:v>6.7823728039136206</c:v>
                </c:pt>
                <c:pt idx="2">
                  <c:v>7.8771834552461293</c:v>
                </c:pt>
                <c:pt idx="3">
                  <c:v>8.4392364004202705</c:v>
                </c:pt>
                <c:pt idx="4">
                  <c:v>10.2630270549536</c:v>
                </c:pt>
                <c:pt idx="5">
                  <c:v>10.766936508077356</c:v>
                </c:pt>
                <c:pt idx="6">
                  <c:v>10.766796126144314</c:v>
                </c:pt>
                <c:pt idx="7">
                  <c:v>10.76702257888696</c:v>
                </c:pt>
                <c:pt idx="8">
                  <c:v>10.766923474571179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CD-4FC2-B0B6-33CE2959F826}"/>
            </c:ext>
          </c:extLst>
        </c:ser>
        <c:ser>
          <c:idx val="1"/>
          <c:order val="1"/>
          <c:tx>
            <c:v>Max capacity @W55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data'!$D$37:$D$45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data'!$T$37:$T$45</c:f>
              <c:numCache>
                <c:formatCode>0.00</c:formatCode>
                <c:ptCount val="9"/>
                <c:pt idx="0">
                  <c:v>5.5009190007551094</c:v>
                </c:pt>
                <c:pt idx="1">
                  <c:v>6.5610606727322702</c:v>
                </c:pt>
                <c:pt idx="2">
                  <c:v>7.5918561128632502</c:v>
                </c:pt>
                <c:pt idx="3">
                  <c:v>8.0867677611589492</c:v>
                </c:pt>
                <c:pt idx="4">
                  <c:v>9.6730678524981109</c:v>
                </c:pt>
                <c:pt idx="5">
                  <c:v>10.624162269745401</c:v>
                </c:pt>
                <c:pt idx="6">
                  <c:v>10.776707146725073</c:v>
                </c:pt>
                <c:pt idx="7">
                  <c:v>10.776751786995787</c:v>
                </c:pt>
                <c:pt idx="8">
                  <c:v>10.77676539885781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CD-4FC2-B0B6-33CE2959F826}"/>
            </c:ext>
          </c:extLst>
        </c:ser>
        <c:ser>
          <c:idx val="2"/>
          <c:order val="2"/>
          <c:tx>
            <c:v>Min capacity @W35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data'!$D$55:$D$63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data'!$H$55:$H$63</c:f>
              <c:numCache>
                <c:formatCode>0.00</c:formatCode>
                <c:ptCount val="9"/>
                <c:pt idx="0">
                  <c:v>2.1177366713628398</c:v>
                </c:pt>
                <c:pt idx="1">
                  <c:v>2.5731505414467803</c:v>
                </c:pt>
                <c:pt idx="2">
                  <c:v>2.3837107145433802</c:v>
                </c:pt>
                <c:pt idx="3">
                  <c:v>2.3101444934985897</c:v>
                </c:pt>
                <c:pt idx="4">
                  <c:v>2.5845297636747699</c:v>
                </c:pt>
                <c:pt idx="5">
                  <c:v>2.7318330429374802</c:v>
                </c:pt>
                <c:pt idx="6">
                  <c:v>3.1613200202134499</c:v>
                </c:pt>
                <c:pt idx="7">
                  <c:v>3.43810196928652</c:v>
                </c:pt>
                <c:pt idx="8">
                  <c:v>3.8746789570732698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CD-4FC2-B0B6-33CE2959F826}"/>
            </c:ext>
          </c:extLst>
        </c:ser>
        <c:ser>
          <c:idx val="3"/>
          <c:order val="3"/>
          <c:tx>
            <c:v>Min capacity @W55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data'!$D$55:$D$63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data'!$T$55:$T$63</c:f>
              <c:numCache>
                <c:formatCode>0.00</c:formatCode>
                <c:ptCount val="9"/>
                <c:pt idx="0">
                  <c:v>1.9073824258441701</c:v>
                </c:pt>
                <c:pt idx="1">
                  <c:v>2.3592672519816702</c:v>
                </c:pt>
                <c:pt idx="2">
                  <c:v>2.21302531991843</c:v>
                </c:pt>
                <c:pt idx="3">
                  <c:v>2.1602519659060397</c:v>
                </c:pt>
                <c:pt idx="4">
                  <c:v>2.4217353055050097</c:v>
                </c:pt>
                <c:pt idx="5">
                  <c:v>2.7595575825058298</c:v>
                </c:pt>
                <c:pt idx="6">
                  <c:v>3.1430069877475098</c:v>
                </c:pt>
                <c:pt idx="7">
                  <c:v>3.3924919008933396</c:v>
                </c:pt>
                <c:pt idx="8">
                  <c:v>3.7864068109526401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CD-4FC2-B0B6-33CE2959F826}"/>
            </c:ext>
          </c:extLst>
        </c:ser>
        <c:ser>
          <c:idx val="4"/>
          <c:order val="4"/>
          <c:tx>
            <c:v>Nominal capacity @W35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'Heating performance data'!$D$46:$D$54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data'!$H$46:$H$54</c:f>
              <c:numCache>
                <c:formatCode>0.00</c:formatCode>
                <c:ptCount val="9"/>
                <c:pt idx="0">
                  <c:v>4.4809840172408908</c:v>
                </c:pt>
                <c:pt idx="1">
                  <c:v>4.5182545167499502</c:v>
                </c:pt>
                <c:pt idx="2">
                  <c:v>4.8548667291329206</c:v>
                </c:pt>
                <c:pt idx="3">
                  <c:v>4.8293723324422002</c:v>
                </c:pt>
                <c:pt idx="4">
                  <c:v>5.6529849931034297</c:v>
                </c:pt>
                <c:pt idx="5">
                  <c:v>4.5377411380909294</c:v>
                </c:pt>
                <c:pt idx="6">
                  <c:v>4.5222579485080194</c:v>
                </c:pt>
                <c:pt idx="7">
                  <c:v>3.7330738112254398</c:v>
                </c:pt>
                <c:pt idx="8">
                  <c:v>3.8746789570732698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CD-4FC2-B0B6-33CE2959F826}"/>
            </c:ext>
          </c:extLst>
        </c:ser>
        <c:ser>
          <c:idx val="5"/>
          <c:order val="5"/>
          <c:tx>
            <c:v>Nominal capacity @W55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'Heating performance data'!$D$46:$D$54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data'!$T$46:$T$54</c:f>
              <c:numCache>
                <c:formatCode>0.00</c:formatCode>
                <c:ptCount val="9"/>
                <c:pt idx="0">
                  <c:v>4.6634447707789004</c:v>
                </c:pt>
                <c:pt idx="1">
                  <c:v>5.4181028147065202</c:v>
                </c:pt>
                <c:pt idx="2">
                  <c:v>6.2490213157675196</c:v>
                </c:pt>
                <c:pt idx="3">
                  <c:v>6.3314052877694404</c:v>
                </c:pt>
                <c:pt idx="4">
                  <c:v>6.3443383400412205</c:v>
                </c:pt>
                <c:pt idx="5">
                  <c:v>5.9146743156589299</c:v>
                </c:pt>
                <c:pt idx="6">
                  <c:v>5.9508411442583098</c:v>
                </c:pt>
                <c:pt idx="7">
                  <c:v>5.0160701273208996</c:v>
                </c:pt>
                <c:pt idx="8">
                  <c:v>4.8628678939704493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CD-4FC2-B0B6-33CE2959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65488"/>
        <c:axId val="751362128"/>
      </c:scatterChart>
      <c:valAx>
        <c:axId val="751365488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2128"/>
        <c:crosses val="autoZero"/>
        <c:crossBetween val="midCat"/>
      </c:valAx>
      <c:valAx>
        <c:axId val="7513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5488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9kW input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capacity @W35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data'!$D$37:$D$45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data'!$I$37:$I$45</c:f>
              <c:numCache>
                <c:formatCode>0.00</c:formatCode>
                <c:ptCount val="9"/>
                <c:pt idx="0">
                  <c:v>2.4926522175867984</c:v>
                </c:pt>
                <c:pt idx="1">
                  <c:v>2.7005758096431429</c:v>
                </c:pt>
                <c:pt idx="2">
                  <c:v>2.911854573162346</c:v>
                </c:pt>
                <c:pt idx="3">
                  <c:v>2.9675170610852617</c:v>
                </c:pt>
                <c:pt idx="4">
                  <c:v>3.111604101316209</c:v>
                </c:pt>
                <c:pt idx="5">
                  <c:v>2.9036648896913095</c:v>
                </c:pt>
                <c:pt idx="6">
                  <c:v>2.4597800916790149</c:v>
                </c:pt>
                <c:pt idx="7">
                  <c:v>2.3859129220671136</c:v>
                </c:pt>
                <c:pt idx="8">
                  <c:v>2.1499770143423147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8E-41FF-88A2-4588E01457F3}"/>
            </c:ext>
          </c:extLst>
        </c:ser>
        <c:ser>
          <c:idx val="1"/>
          <c:order val="1"/>
          <c:tx>
            <c:v>Max capacity @W55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data'!$D$37:$D$45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data'!$U$37:$U$45</c:f>
              <c:numCache>
                <c:formatCode>0.00</c:formatCode>
                <c:ptCount val="9"/>
                <c:pt idx="0">
                  <c:v>3.1332062673548631</c:v>
                </c:pt>
                <c:pt idx="1">
                  <c:v>3.4196431993010901</c:v>
                </c:pt>
                <c:pt idx="2">
                  <c:v>3.704986598800069</c:v>
                </c:pt>
                <c:pt idx="3">
                  <c:v>3.7912675584049653</c:v>
                </c:pt>
                <c:pt idx="4">
                  <c:v>4.024083742087158</c:v>
                </c:pt>
                <c:pt idx="5">
                  <c:v>4.1393154557664342</c:v>
                </c:pt>
                <c:pt idx="6">
                  <c:v>3.7420774158993413</c:v>
                </c:pt>
                <c:pt idx="7">
                  <c:v>3.6589915885313284</c:v>
                </c:pt>
                <c:pt idx="8">
                  <c:v>3.3276775887987222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8E-41FF-88A2-4588E01457F3}"/>
            </c:ext>
          </c:extLst>
        </c:ser>
        <c:ser>
          <c:idx val="2"/>
          <c:order val="2"/>
          <c:tx>
            <c:v>Min capacity @W35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data'!$D$55:$D$63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data'!$I$55:$I$63</c:f>
              <c:numCache>
                <c:formatCode>0.00</c:formatCode>
                <c:ptCount val="9"/>
                <c:pt idx="0">
                  <c:v>0.98688387926874621</c:v>
                </c:pt>
                <c:pt idx="1">
                  <c:v>1.0200037930044443</c:v>
                </c:pt>
                <c:pt idx="2">
                  <c:v>0.82966304525483836</c:v>
                </c:pt>
                <c:pt idx="3">
                  <c:v>0.75095683290143489</c:v>
                </c:pt>
                <c:pt idx="4">
                  <c:v>0.68200263450580811</c:v>
                </c:pt>
                <c:pt idx="5">
                  <c:v>0.59636713630941129</c:v>
                </c:pt>
                <c:pt idx="6">
                  <c:v>0.57425468518387257</c:v>
                </c:pt>
                <c:pt idx="7">
                  <c:v>0.56689462059276896</c:v>
                </c:pt>
                <c:pt idx="8">
                  <c:v>0.5615909671191045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8E-41FF-88A2-4588E01457F3}"/>
            </c:ext>
          </c:extLst>
        </c:ser>
        <c:ser>
          <c:idx val="3"/>
          <c:order val="3"/>
          <c:tx>
            <c:v>Min capacity @W55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data'!$D$55:$D$63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data'!$U$55:$U$63</c:f>
              <c:numCache>
                <c:formatCode>0.00</c:formatCode>
                <c:ptCount val="9"/>
                <c:pt idx="0">
                  <c:v>1.2760339408232151</c:v>
                </c:pt>
                <c:pt idx="1">
                  <c:v>1.3642125658472908</c:v>
                </c:pt>
                <c:pt idx="2">
                  <c:v>1.1524927711306516</c:v>
                </c:pt>
                <c:pt idx="3">
                  <c:v>1.0683527534256128</c:v>
                </c:pt>
                <c:pt idx="4">
                  <c:v>1.023450804742805</c:v>
                </c:pt>
                <c:pt idx="5">
                  <c:v>1.0058662364566855</c:v>
                </c:pt>
                <c:pt idx="6">
                  <c:v>0.99865386902009123</c:v>
                </c:pt>
                <c:pt idx="7">
                  <c:v>0.99624494894573712</c:v>
                </c:pt>
                <c:pt idx="8">
                  <c:v>0.99461143356858606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8E-41FF-88A2-4588E01457F3}"/>
            </c:ext>
          </c:extLst>
        </c:ser>
        <c:ser>
          <c:idx val="4"/>
          <c:order val="4"/>
          <c:tx>
            <c:v>Nominal capacity @W35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'Heating performance data'!$D$46:$D$54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data'!$I$46:$I$54</c:f>
              <c:numCache>
                <c:formatCode>0.00</c:formatCode>
                <c:ptCount val="9"/>
                <c:pt idx="0">
                  <c:v>1.9651425566765268</c:v>
                </c:pt>
                <c:pt idx="1">
                  <c:v>1.7343447991076124</c:v>
                </c:pt>
                <c:pt idx="2">
                  <c:v>1.6325691516903853</c:v>
                </c:pt>
                <c:pt idx="3">
                  <c:v>1.5010085194027183</c:v>
                </c:pt>
                <c:pt idx="4">
                  <c:v>1.3963927936652718</c:v>
                </c:pt>
                <c:pt idx="5">
                  <c:v>0.96001701227090031</c:v>
                </c:pt>
                <c:pt idx="6">
                  <c:v>0.81208906634604872</c:v>
                </c:pt>
                <c:pt idx="7">
                  <c:v>0.61501517966839514</c:v>
                </c:pt>
                <c:pt idx="8">
                  <c:v>0.5615909671191045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8E-41FF-88A2-4588E01457F3}"/>
            </c:ext>
          </c:extLst>
        </c:ser>
        <c:ser>
          <c:idx val="5"/>
          <c:order val="5"/>
          <c:tx>
            <c:v>Nominal capacity @W55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'Heating performance data'!$D$46:$D$54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data'!$U$46:$U$54</c:f>
              <c:numCache>
                <c:formatCode>0.00</c:formatCode>
                <c:ptCount val="9"/>
                <c:pt idx="0">
                  <c:v>2.6962584266849832</c:v>
                </c:pt>
                <c:pt idx="1">
                  <c:v>2.8439464160129604</c:v>
                </c:pt>
                <c:pt idx="2">
                  <c:v>2.9748367509124534</c:v>
                </c:pt>
                <c:pt idx="3">
                  <c:v>2.8402815979025244</c:v>
                </c:pt>
                <c:pt idx="4">
                  <c:v>2.372259018494574</c:v>
                </c:pt>
                <c:pt idx="5">
                  <c:v>1.9857126154696252</c:v>
                </c:pt>
                <c:pt idx="6">
                  <c:v>1.7738888783616451</c:v>
                </c:pt>
                <c:pt idx="7">
                  <c:v>1.4353581376901949</c:v>
                </c:pt>
                <c:pt idx="8">
                  <c:v>1.2622028191332026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8E-41FF-88A2-4588E014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65488"/>
        <c:axId val="751362128"/>
      </c:scatterChart>
      <c:valAx>
        <c:axId val="751365488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2128"/>
        <c:crosses val="autoZero"/>
        <c:crossBetween val="midCat"/>
      </c:valAx>
      <c:valAx>
        <c:axId val="7513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5488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9kW COP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capacity @W35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data'!$D$37:$D$45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data'!$J$37:$J$45</c:f>
              <c:numCache>
                <c:formatCode>0.00</c:formatCode>
                <c:ptCount val="9"/>
                <c:pt idx="0">
                  <c:v>2.2603653302715601</c:v>
                </c:pt>
                <c:pt idx="1">
                  <c:v>2.5114543275161201</c:v>
                </c:pt>
                <c:pt idx="2">
                  <c:v>2.70521183573097</c:v>
                </c:pt>
                <c:pt idx="3">
                  <c:v>2.8438712319766499</c:v>
                </c:pt>
                <c:pt idx="4">
                  <c:v>3.2983074712532798</c:v>
                </c:pt>
                <c:pt idx="5">
                  <c:v>3.7080506591178972</c:v>
                </c:pt>
                <c:pt idx="6">
                  <c:v>4.3771376809522167</c:v>
                </c:pt>
                <c:pt idx="7">
                  <c:v>4.5127475019325516</c:v>
                </c:pt>
                <c:pt idx="8">
                  <c:v>5.007924923264734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A-4F84-AA06-F72DDEB7F952}"/>
            </c:ext>
          </c:extLst>
        </c:ser>
        <c:ser>
          <c:idx val="1"/>
          <c:order val="1"/>
          <c:tx>
            <c:v>Max capacity @W55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data'!$D$37:$D$45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data'!$V$37:$V$45</c:f>
              <c:numCache>
                <c:formatCode>0.00</c:formatCode>
                <c:ptCount val="9"/>
                <c:pt idx="0">
                  <c:v>1.7556836452389499</c:v>
                </c:pt>
                <c:pt idx="1">
                  <c:v>1.91863896036675</c:v>
                </c:pt>
                <c:pt idx="2">
                  <c:v>2.0490913827655999</c:v>
                </c:pt>
                <c:pt idx="3">
                  <c:v>2.1329984329993201</c:v>
                </c:pt>
                <c:pt idx="4">
                  <c:v>2.4037938751943102</c:v>
                </c:pt>
                <c:pt idx="5">
                  <c:v>2.5666471626232301</c:v>
                </c:pt>
                <c:pt idx="6">
                  <c:v>2.879872848417564</c:v>
                </c:pt>
                <c:pt idx="7">
                  <c:v>2.9452791913417418</c:v>
                </c:pt>
                <c:pt idx="8">
                  <c:v>3.238524499829377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DA-4F84-AA06-F72DDEB7F952}"/>
            </c:ext>
          </c:extLst>
        </c:ser>
        <c:ser>
          <c:idx val="2"/>
          <c:order val="2"/>
          <c:tx>
            <c:v>Min capacity @W35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data'!$D$55:$D$63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data'!$J$55:$J$63</c:f>
              <c:numCache>
                <c:formatCode>0.00</c:formatCode>
                <c:ptCount val="9"/>
                <c:pt idx="0">
                  <c:v>2.1458823229861901</c:v>
                </c:pt>
                <c:pt idx="1">
                  <c:v>2.5226872283165802</c:v>
                </c:pt>
                <c:pt idx="2">
                  <c:v>2.8731070139579402</c:v>
                </c:pt>
                <c:pt idx="3">
                  <c:v>3.0762680253843602</c:v>
                </c:pt>
                <c:pt idx="4">
                  <c:v>3.78961844560552</c:v>
                </c:pt>
                <c:pt idx="5">
                  <c:v>4.58079071868932</c:v>
                </c:pt>
                <c:pt idx="6">
                  <c:v>5.5050835487762999</c:v>
                </c:pt>
                <c:pt idx="7">
                  <c:v>6.0647990726944903</c:v>
                </c:pt>
                <c:pt idx="8">
                  <c:v>6.8994680896488001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DA-4F84-AA06-F72DDEB7F952}"/>
            </c:ext>
          </c:extLst>
        </c:ser>
        <c:ser>
          <c:idx val="3"/>
          <c:order val="3"/>
          <c:tx>
            <c:v>Min capacity @W55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'Heating performance data'!$D$55:$D$63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data'!$V$55:$V$63</c:f>
              <c:numCache>
                <c:formatCode>0.00</c:formatCode>
                <c:ptCount val="9"/>
                <c:pt idx="0">
                  <c:v>1.4947740532776499</c:v>
                </c:pt>
                <c:pt idx="1">
                  <c:v>1.7293985637175</c:v>
                </c:pt>
                <c:pt idx="2">
                  <c:v>1.92020754954267</c:v>
                </c:pt>
                <c:pt idx="3">
                  <c:v>2.0220399666489501</c:v>
                </c:pt>
                <c:pt idx="4">
                  <c:v>2.3662449570437301</c:v>
                </c:pt>
                <c:pt idx="5">
                  <c:v>2.74346377528963</c:v>
                </c:pt>
                <c:pt idx="6">
                  <c:v>3.1472435898451199</c:v>
                </c:pt>
                <c:pt idx="7">
                  <c:v>3.4052788970056</c:v>
                </c:pt>
                <c:pt idx="8">
                  <c:v>3.8069206558055702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DA-4F84-AA06-F72DDEB7F952}"/>
            </c:ext>
          </c:extLst>
        </c:ser>
        <c:ser>
          <c:idx val="4"/>
          <c:order val="4"/>
          <c:tx>
            <c:v>Nominal capacity @W35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'Heating performance data'!$D$46:$D$54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data'!$J$46:$J$54</c:f>
              <c:numCache>
                <c:formatCode>0.00</c:formatCode>
                <c:ptCount val="9"/>
                <c:pt idx="0">
                  <c:v>2.2802335647441199</c:v>
                </c:pt>
                <c:pt idx="1">
                  <c:v>2.6051650854402002</c:v>
                </c:pt>
                <c:pt idx="2">
                  <c:v>2.9737587067023301</c:v>
                </c:pt>
                <c:pt idx="3">
                  <c:v>3.21741833574929</c:v>
                </c:pt>
                <c:pt idx="4">
                  <c:v>4.0482771171178804</c:v>
                </c:pt>
                <c:pt idx="5">
                  <c:v>4.72672992258439</c:v>
                </c:pt>
                <c:pt idx="6">
                  <c:v>5.5686723734081003</c:v>
                </c:pt>
                <c:pt idx="7">
                  <c:v>6.0698888980890597</c:v>
                </c:pt>
                <c:pt idx="8">
                  <c:v>6.8994680896488001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DA-4F84-AA06-F72DDEB7F952}"/>
            </c:ext>
          </c:extLst>
        </c:ser>
        <c:ser>
          <c:idx val="5"/>
          <c:order val="5"/>
          <c:tx>
            <c:v>Nominal capacity @W55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'Heating performance data'!$D$46:$D$54</c:f>
              <c:numCache>
                <c:formatCode>General</c:formatCode>
                <c:ptCount val="9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-7</c:v>
                </c:pt>
                <c:pt idx="4">
                  <c:v>2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'Heating performance data'!$V$46:$V$54</c:f>
              <c:numCache>
                <c:formatCode>0.00</c:formatCode>
                <c:ptCount val="9"/>
                <c:pt idx="0">
                  <c:v>1.7295985891502801</c:v>
                </c:pt>
                <c:pt idx="1">
                  <c:v>1.9051353373606701</c:v>
                </c:pt>
                <c:pt idx="2">
                  <c:v>2.10062663568036</c:v>
                </c:pt>
                <c:pt idx="3">
                  <c:v>2.22914702980332</c:v>
                </c:pt>
                <c:pt idx="4">
                  <c:v>2.6743868568227902</c:v>
                </c:pt>
                <c:pt idx="5">
                  <c:v>2.9786154701243599</c:v>
                </c:pt>
                <c:pt idx="6">
                  <c:v>3.3546865403172701</c:v>
                </c:pt>
                <c:pt idx="7">
                  <c:v>3.49464708187244</c:v>
                </c:pt>
                <c:pt idx="8">
                  <c:v>3.8526834358601301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DA-4F84-AA06-F72DDEB7F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65488"/>
        <c:axId val="751362128"/>
      </c:scatterChart>
      <c:valAx>
        <c:axId val="751365488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2128"/>
        <c:crosses val="autoZero"/>
        <c:crossBetween val="midCat"/>
      </c:valAx>
      <c:valAx>
        <c:axId val="7513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365488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Heating mode usage limits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'Usage limits'!$B$4:$B$10</c:f>
              <c:numCache>
                <c:formatCode>General</c:formatCode>
                <c:ptCount val="7"/>
                <c:pt idx="0">
                  <c:v>-20</c:v>
                </c:pt>
                <c:pt idx="1">
                  <c:v>0</c:v>
                </c:pt>
                <c:pt idx="2">
                  <c:v>45</c:v>
                </c:pt>
                <c:pt idx="3">
                  <c:v>45</c:v>
                </c:pt>
                <c:pt idx="4">
                  <c:v>0</c:v>
                </c:pt>
                <c:pt idx="5">
                  <c:v>-20</c:v>
                </c:pt>
                <c:pt idx="6">
                  <c:v>-20</c:v>
                </c:pt>
              </c:numCache>
            </c:numRef>
          </c:xVal>
          <c:yVal>
            <c:numRef>
              <c:f>'Usage limits'!$C$4:$C$10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70</c:v>
                </c:pt>
                <c:pt idx="4">
                  <c:v>70</c:v>
                </c:pt>
                <c:pt idx="5">
                  <c:v>65</c:v>
                </c:pt>
                <c:pt idx="6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4B-4214-9DB1-66DB4820C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90175"/>
        <c:axId val="714317103"/>
      </c:scatterChart>
      <c:valAx>
        <c:axId val="71679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Exterior</a:t>
                </a:r>
                <a:r>
                  <a:rPr lang="fr-FR" baseline="0"/>
                  <a:t> temperature [°C]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4317103"/>
        <c:crosses val="autoZero"/>
        <c:crossBetween val="midCat"/>
      </c:valAx>
      <c:valAx>
        <c:axId val="71431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Heating</a:t>
                </a:r>
                <a:r>
                  <a:rPr lang="fr-FR" baseline="0"/>
                  <a:t> water temperature [°C]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79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Cooling mode usage limits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'Usage limits'!$B$19:$B$23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45</c:v>
                </c:pt>
                <c:pt idx="3">
                  <c:v>45</c:v>
                </c:pt>
                <c:pt idx="4">
                  <c:v>20</c:v>
                </c:pt>
              </c:numCache>
            </c:numRef>
          </c:xVal>
          <c:yVal>
            <c:numRef>
              <c:f>'Usage limits'!$C$19:$C$23</c:f>
              <c:numCache>
                <c:formatCode>General</c:formatCode>
                <c:ptCount val="5"/>
                <c:pt idx="0">
                  <c:v>25</c:v>
                </c:pt>
                <c:pt idx="1">
                  <c:v>7</c:v>
                </c:pt>
                <c:pt idx="2">
                  <c:v>7</c:v>
                </c:pt>
                <c:pt idx="3">
                  <c:v>25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24-45D1-BA52-FE9005FEF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90175"/>
        <c:axId val="714317103"/>
      </c:scatterChart>
      <c:valAx>
        <c:axId val="716790175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Exterior 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4317103"/>
        <c:crosses val="autoZero"/>
        <c:crossBetween val="midCat"/>
      </c:valAx>
      <c:valAx>
        <c:axId val="71431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Cooling water 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79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BLW Mono</a:t>
            </a:r>
            <a:r>
              <a:rPr lang="fr-FR" baseline="0"/>
              <a:t> 6.1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Hydraulics!$D$3:$D$10</c:f>
              <c:numCache>
                <c:formatCode>0.00</c:formatCode>
                <c:ptCount val="8"/>
                <c:pt idx="0">
                  <c:v>23.333333333333332</c:v>
                </c:pt>
                <c:pt idx="1">
                  <c:v>20</c:v>
                </c:pt>
                <c:pt idx="2">
                  <c:v>16.666666666666668</c:v>
                </c:pt>
                <c:pt idx="3">
                  <c:v>13.333333333333334</c:v>
                </c:pt>
                <c:pt idx="4">
                  <c:v>10</c:v>
                </c:pt>
                <c:pt idx="5">
                  <c:v>6.666666666666667</c:v>
                </c:pt>
                <c:pt idx="6">
                  <c:v>5</c:v>
                </c:pt>
                <c:pt idx="7">
                  <c:v>0</c:v>
                </c:pt>
              </c:numCache>
            </c:numRef>
          </c:xVal>
          <c:yVal>
            <c:numRef>
              <c:f>Hydraulics!$E$3:$E$10</c:f>
              <c:numCache>
                <c:formatCode>0.000</c:formatCode>
                <c:ptCount val="8"/>
                <c:pt idx="0">
                  <c:v>16.231000000000002</c:v>
                </c:pt>
                <c:pt idx="1">
                  <c:v>29.088000000000001</c:v>
                </c:pt>
                <c:pt idx="2">
                  <c:v>42.317</c:v>
                </c:pt>
                <c:pt idx="3">
                  <c:v>55.293999999999997</c:v>
                </c:pt>
                <c:pt idx="4">
                  <c:v>68.463999999999999</c:v>
                </c:pt>
                <c:pt idx="5">
                  <c:v>75.075000000000003</c:v>
                </c:pt>
                <c:pt idx="6">
                  <c:v>76.632000000000005</c:v>
                </c:pt>
                <c:pt idx="7">
                  <c:v>79.16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9-49AB-9A82-7EDA67126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BLW Mono</a:t>
            </a:r>
            <a:r>
              <a:rPr lang="fr-FR" baseline="0"/>
              <a:t> 9.1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Hydraulics!$D$11:$D$20</c:f>
              <c:numCache>
                <c:formatCode>0.00</c:formatCode>
                <c:ptCount val="10"/>
                <c:pt idx="0">
                  <c:v>27.5</c:v>
                </c:pt>
                <c:pt idx="1">
                  <c:v>27.333333333333332</c:v>
                </c:pt>
                <c:pt idx="2">
                  <c:v>26.75</c:v>
                </c:pt>
                <c:pt idx="3">
                  <c:v>25.5</c:v>
                </c:pt>
                <c:pt idx="4">
                  <c:v>23.633333333333333</c:v>
                </c:pt>
                <c:pt idx="5">
                  <c:v>20</c:v>
                </c:pt>
                <c:pt idx="6">
                  <c:v>15.1</c:v>
                </c:pt>
                <c:pt idx="7">
                  <c:v>9.4833333333333325</c:v>
                </c:pt>
                <c:pt idx="8">
                  <c:v>6.7833333333333332</c:v>
                </c:pt>
                <c:pt idx="9">
                  <c:v>0</c:v>
                </c:pt>
              </c:numCache>
            </c:numRef>
          </c:xVal>
          <c:yVal>
            <c:numRef>
              <c:f>Hydraulics!$E$11:$E$20</c:f>
              <c:numCache>
                <c:formatCode>0.000</c:formatCode>
                <c:ptCount val="10"/>
                <c:pt idx="0">
                  <c:v>34.92</c:v>
                </c:pt>
                <c:pt idx="1">
                  <c:v>36.201000000000001</c:v>
                </c:pt>
                <c:pt idx="2">
                  <c:v>38.593000000000004</c:v>
                </c:pt>
                <c:pt idx="3">
                  <c:v>43.423000000000002</c:v>
                </c:pt>
                <c:pt idx="4">
                  <c:v>50.399000000000001</c:v>
                </c:pt>
                <c:pt idx="5">
                  <c:v>62.582999999999998</c:v>
                </c:pt>
                <c:pt idx="6">
                  <c:v>71.019000000000005</c:v>
                </c:pt>
                <c:pt idx="7">
                  <c:v>77.587999999999994</c:v>
                </c:pt>
                <c:pt idx="8">
                  <c:v>79.484999999999999</c:v>
                </c:pt>
                <c:pt idx="9">
                  <c:v>81.808999999999997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C2-453F-B2DA-E05ECE39D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12kW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Hydraulics!$D$21:$D$33</c:f>
              <c:numCache>
                <c:formatCode>0.00</c:formatCode>
                <c:ptCount val="13"/>
                <c:pt idx="0">
                  <c:v>3.3333333333333335</c:v>
                </c:pt>
                <c:pt idx="1">
                  <c:v>6.6833333333333336</c:v>
                </c:pt>
                <c:pt idx="2">
                  <c:v>10</c:v>
                </c:pt>
                <c:pt idx="3">
                  <c:v>13.333333333333334</c:v>
                </c:pt>
                <c:pt idx="4">
                  <c:v>16.666666666666668</c:v>
                </c:pt>
                <c:pt idx="5">
                  <c:v>20</c:v>
                </c:pt>
                <c:pt idx="6">
                  <c:v>23.333333333333332</c:v>
                </c:pt>
                <c:pt idx="7">
                  <c:v>26.666666666666668</c:v>
                </c:pt>
                <c:pt idx="8">
                  <c:v>30</c:v>
                </c:pt>
                <c:pt idx="9">
                  <c:v>33.333333333333336</c:v>
                </c:pt>
                <c:pt idx="10">
                  <c:v>36.666666666666664</c:v>
                </c:pt>
                <c:pt idx="11">
                  <c:v>40</c:v>
                </c:pt>
                <c:pt idx="12">
                  <c:v>43.333333333333336</c:v>
                </c:pt>
              </c:numCache>
            </c:numRef>
          </c:xVal>
          <c:yVal>
            <c:numRef>
              <c:f>Hydraulics!$E$21:$E$33</c:f>
              <c:numCache>
                <c:formatCode>0.000</c:formatCode>
                <c:ptCount val="13"/>
                <c:pt idx="0">
                  <c:v>76.283000000000001</c:v>
                </c:pt>
                <c:pt idx="1">
                  <c:v>75.537000000000006</c:v>
                </c:pt>
                <c:pt idx="2">
                  <c:v>74.069999999999993</c:v>
                </c:pt>
                <c:pt idx="3">
                  <c:v>72</c:v>
                </c:pt>
                <c:pt idx="4">
                  <c:v>69.311999999999998</c:v>
                </c:pt>
                <c:pt idx="5">
                  <c:v>65.906999999999996</c:v>
                </c:pt>
                <c:pt idx="6">
                  <c:v>61.759</c:v>
                </c:pt>
                <c:pt idx="7">
                  <c:v>57.014000000000003</c:v>
                </c:pt>
                <c:pt idx="8">
                  <c:v>51.779000000000003</c:v>
                </c:pt>
                <c:pt idx="9">
                  <c:v>46.067999999999998</c:v>
                </c:pt>
                <c:pt idx="10">
                  <c:v>38.988999999999997</c:v>
                </c:pt>
                <c:pt idx="11">
                  <c:v>29.905000000000001</c:v>
                </c:pt>
                <c:pt idx="12">
                  <c:v>20.917000000000002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E-46DD-8FFE-85A4E9A0D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16kW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Hydraulics!$D$34:$D$47</c:f>
              <c:numCache>
                <c:formatCode>0.00</c:formatCode>
                <c:ptCount val="14"/>
                <c:pt idx="0">
                  <c:v>10.016666666666667</c:v>
                </c:pt>
                <c:pt idx="1">
                  <c:v>11.666666666666666</c:v>
                </c:pt>
                <c:pt idx="2">
                  <c:v>12.833333333333334</c:v>
                </c:pt>
                <c:pt idx="3">
                  <c:v>15.5</c:v>
                </c:pt>
                <c:pt idx="4">
                  <c:v>18.333333333333332</c:v>
                </c:pt>
                <c:pt idx="5">
                  <c:v>21.666666666666668</c:v>
                </c:pt>
                <c:pt idx="6">
                  <c:v>25</c:v>
                </c:pt>
                <c:pt idx="7">
                  <c:v>28.333333333333332</c:v>
                </c:pt>
                <c:pt idx="8">
                  <c:v>33.333333333333336</c:v>
                </c:pt>
                <c:pt idx="9">
                  <c:v>36.666666666666664</c:v>
                </c:pt>
                <c:pt idx="10">
                  <c:v>40.666666666666664</c:v>
                </c:pt>
                <c:pt idx="11">
                  <c:v>43.333333333333336</c:v>
                </c:pt>
                <c:pt idx="12">
                  <c:v>46</c:v>
                </c:pt>
                <c:pt idx="13">
                  <c:v>47.5</c:v>
                </c:pt>
              </c:numCache>
            </c:numRef>
          </c:xVal>
          <c:yVal>
            <c:numRef>
              <c:f>Hydraulics!$E$34:$E$47</c:f>
              <c:numCache>
                <c:formatCode>0.000</c:formatCode>
                <c:ptCount val="14"/>
                <c:pt idx="0">
                  <c:v>107.01300000000001</c:v>
                </c:pt>
                <c:pt idx="1">
                  <c:v>106.623</c:v>
                </c:pt>
                <c:pt idx="2">
                  <c:v>106.254</c:v>
                </c:pt>
                <c:pt idx="3">
                  <c:v>105.119</c:v>
                </c:pt>
                <c:pt idx="4">
                  <c:v>103.52</c:v>
                </c:pt>
                <c:pt idx="5">
                  <c:v>100.745</c:v>
                </c:pt>
                <c:pt idx="6">
                  <c:v>97.450999999999993</c:v>
                </c:pt>
                <c:pt idx="7">
                  <c:v>93.646000000000001</c:v>
                </c:pt>
                <c:pt idx="8">
                  <c:v>87.546000000000006</c:v>
                </c:pt>
                <c:pt idx="9">
                  <c:v>80.369</c:v>
                </c:pt>
                <c:pt idx="10">
                  <c:v>67.965000000000003</c:v>
                </c:pt>
                <c:pt idx="11">
                  <c:v>59.137999999999998</c:v>
                </c:pt>
                <c:pt idx="12">
                  <c:v>48.622</c:v>
                </c:pt>
                <c:pt idx="13">
                  <c:v>41.750999999999998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1A-4319-8295-349692AFE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BLW Mono</a:t>
            </a:r>
            <a:r>
              <a:rPr lang="fr-FR" baseline="0"/>
              <a:t> 6.1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Hydraulics!$D$3:$D$10</c:f>
              <c:numCache>
                <c:formatCode>0.00</c:formatCode>
                <c:ptCount val="8"/>
                <c:pt idx="0">
                  <c:v>23.333333333333332</c:v>
                </c:pt>
                <c:pt idx="1">
                  <c:v>20</c:v>
                </c:pt>
                <c:pt idx="2">
                  <c:v>16.666666666666668</c:v>
                </c:pt>
                <c:pt idx="3">
                  <c:v>13.333333333333334</c:v>
                </c:pt>
                <c:pt idx="4">
                  <c:v>10</c:v>
                </c:pt>
                <c:pt idx="5">
                  <c:v>6.666666666666667</c:v>
                </c:pt>
                <c:pt idx="6">
                  <c:v>5</c:v>
                </c:pt>
                <c:pt idx="7">
                  <c:v>0</c:v>
                </c:pt>
              </c:numCache>
            </c:numRef>
          </c:xVal>
          <c:yVal>
            <c:numRef>
              <c:f>Hydraulics!$F$3:$F$10</c:f>
              <c:numCache>
                <c:formatCode>0.000</c:formatCode>
                <c:ptCount val="8"/>
                <c:pt idx="0">
                  <c:v>1.6545361875637106</c:v>
                </c:pt>
                <c:pt idx="1">
                  <c:v>2.9651376146788992</c:v>
                </c:pt>
                <c:pt idx="2">
                  <c:v>4.3136595310907238</c:v>
                </c:pt>
                <c:pt idx="3">
                  <c:v>5.6364933741080527</c:v>
                </c:pt>
                <c:pt idx="4">
                  <c:v>6.979001019367991</c:v>
                </c:pt>
                <c:pt idx="5">
                  <c:v>7.6529051987767582</c:v>
                </c:pt>
                <c:pt idx="6">
                  <c:v>7.811620795107034</c:v>
                </c:pt>
                <c:pt idx="7">
                  <c:v>8.0693170234454623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B5-4731-A392-98FCDF6E4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[mWp]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BLW Mono</a:t>
            </a:r>
            <a:r>
              <a:rPr lang="fr-FR" baseline="0"/>
              <a:t> 9.1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Hydraulics!$D$11:$D$20</c:f>
              <c:numCache>
                <c:formatCode>0.00</c:formatCode>
                <c:ptCount val="10"/>
                <c:pt idx="0">
                  <c:v>27.5</c:v>
                </c:pt>
                <c:pt idx="1">
                  <c:v>27.333333333333332</c:v>
                </c:pt>
                <c:pt idx="2">
                  <c:v>26.75</c:v>
                </c:pt>
                <c:pt idx="3">
                  <c:v>25.5</c:v>
                </c:pt>
                <c:pt idx="4">
                  <c:v>23.633333333333333</c:v>
                </c:pt>
                <c:pt idx="5">
                  <c:v>20</c:v>
                </c:pt>
                <c:pt idx="6">
                  <c:v>15.1</c:v>
                </c:pt>
                <c:pt idx="7">
                  <c:v>9.4833333333333325</c:v>
                </c:pt>
                <c:pt idx="8">
                  <c:v>6.7833333333333332</c:v>
                </c:pt>
                <c:pt idx="9">
                  <c:v>0</c:v>
                </c:pt>
              </c:numCache>
            </c:numRef>
          </c:xVal>
          <c:yVal>
            <c:numRef>
              <c:f>Hydraulics!$F$11:$F$20</c:f>
              <c:numCache>
                <c:formatCode>0.000</c:formatCode>
                <c:ptCount val="10"/>
                <c:pt idx="0">
                  <c:v>3.5596330275229358</c:v>
                </c:pt>
                <c:pt idx="1">
                  <c:v>3.6902140672782875</c:v>
                </c:pt>
                <c:pt idx="2">
                  <c:v>3.9340468909276249</c:v>
                </c:pt>
                <c:pt idx="3">
                  <c:v>4.4264016309887868</c:v>
                </c:pt>
                <c:pt idx="4">
                  <c:v>5.1375127420998981</c:v>
                </c:pt>
                <c:pt idx="5">
                  <c:v>6.3795107033639136</c:v>
                </c:pt>
                <c:pt idx="6">
                  <c:v>7.2394495412844035</c:v>
                </c:pt>
                <c:pt idx="7">
                  <c:v>7.9090723751274199</c:v>
                </c:pt>
                <c:pt idx="8">
                  <c:v>8.1024464831804277</c:v>
                </c:pt>
                <c:pt idx="9">
                  <c:v>8.3393476044852193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6C-4262-A549-7599A2785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12kW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Hydraulics!$D$21:$D$33</c:f>
              <c:numCache>
                <c:formatCode>0.00</c:formatCode>
                <c:ptCount val="13"/>
                <c:pt idx="0">
                  <c:v>3.3333333333333335</c:v>
                </c:pt>
                <c:pt idx="1">
                  <c:v>6.6833333333333336</c:v>
                </c:pt>
                <c:pt idx="2">
                  <c:v>10</c:v>
                </c:pt>
                <c:pt idx="3">
                  <c:v>13.333333333333334</c:v>
                </c:pt>
                <c:pt idx="4">
                  <c:v>16.666666666666668</c:v>
                </c:pt>
                <c:pt idx="5">
                  <c:v>20</c:v>
                </c:pt>
                <c:pt idx="6">
                  <c:v>23.333333333333332</c:v>
                </c:pt>
                <c:pt idx="7">
                  <c:v>26.666666666666668</c:v>
                </c:pt>
                <c:pt idx="8">
                  <c:v>30</c:v>
                </c:pt>
                <c:pt idx="9">
                  <c:v>33.333333333333336</c:v>
                </c:pt>
                <c:pt idx="10">
                  <c:v>36.666666666666664</c:v>
                </c:pt>
                <c:pt idx="11">
                  <c:v>40</c:v>
                </c:pt>
                <c:pt idx="12">
                  <c:v>43.333333333333336</c:v>
                </c:pt>
              </c:numCache>
            </c:numRef>
          </c:xVal>
          <c:yVal>
            <c:numRef>
              <c:f>Hydraulics!$F$21:$F$33</c:f>
              <c:numCache>
                <c:formatCode>0.000</c:formatCode>
                <c:ptCount val="13"/>
                <c:pt idx="0">
                  <c:v>7.7760448521916405</c:v>
                </c:pt>
                <c:pt idx="1">
                  <c:v>7.7</c:v>
                </c:pt>
                <c:pt idx="2">
                  <c:v>7.5504587155963296</c:v>
                </c:pt>
                <c:pt idx="3">
                  <c:v>7.3394495412844032</c:v>
                </c:pt>
                <c:pt idx="4">
                  <c:v>7.0654434250764524</c:v>
                </c:pt>
                <c:pt idx="5">
                  <c:v>6.7183486238532106</c:v>
                </c:pt>
                <c:pt idx="6">
                  <c:v>6.2955147808358811</c:v>
                </c:pt>
                <c:pt idx="7">
                  <c:v>5.8118246687054027</c:v>
                </c:pt>
                <c:pt idx="8">
                  <c:v>5.278185524974516</c:v>
                </c:pt>
                <c:pt idx="9">
                  <c:v>4.6960244648318037</c:v>
                </c:pt>
                <c:pt idx="10">
                  <c:v>3.9744138634046888</c:v>
                </c:pt>
                <c:pt idx="11">
                  <c:v>3.0484199796126403</c:v>
                </c:pt>
                <c:pt idx="12">
                  <c:v>2.1322120285423036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5C-44E2-9C88-C60DCF9FC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[mWp]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MB4R 16kW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Hydraulics!$D$34:$D$47</c:f>
              <c:numCache>
                <c:formatCode>0.00</c:formatCode>
                <c:ptCount val="14"/>
                <c:pt idx="0">
                  <c:v>10.016666666666667</c:v>
                </c:pt>
                <c:pt idx="1">
                  <c:v>11.666666666666666</c:v>
                </c:pt>
                <c:pt idx="2">
                  <c:v>12.833333333333334</c:v>
                </c:pt>
                <c:pt idx="3">
                  <c:v>15.5</c:v>
                </c:pt>
                <c:pt idx="4">
                  <c:v>18.333333333333332</c:v>
                </c:pt>
                <c:pt idx="5">
                  <c:v>21.666666666666668</c:v>
                </c:pt>
                <c:pt idx="6">
                  <c:v>25</c:v>
                </c:pt>
                <c:pt idx="7">
                  <c:v>28.333333333333332</c:v>
                </c:pt>
                <c:pt idx="8">
                  <c:v>33.333333333333336</c:v>
                </c:pt>
                <c:pt idx="9">
                  <c:v>36.666666666666664</c:v>
                </c:pt>
                <c:pt idx="10">
                  <c:v>40.666666666666664</c:v>
                </c:pt>
                <c:pt idx="11">
                  <c:v>43.333333333333336</c:v>
                </c:pt>
                <c:pt idx="12">
                  <c:v>46</c:v>
                </c:pt>
                <c:pt idx="13">
                  <c:v>47.5</c:v>
                </c:pt>
              </c:numCache>
            </c:numRef>
          </c:xVal>
          <c:yVal>
            <c:numRef>
              <c:f>Hydraulics!$F$34:$F$47</c:f>
              <c:numCache>
                <c:formatCode>0.000</c:formatCode>
                <c:ptCount val="14"/>
                <c:pt idx="0">
                  <c:v>10.908562691131499</c:v>
                </c:pt>
                <c:pt idx="1">
                  <c:v>10.868807339449541</c:v>
                </c:pt>
                <c:pt idx="2">
                  <c:v>10.831192660550458</c:v>
                </c:pt>
                <c:pt idx="3">
                  <c:v>10.715494393476044</c:v>
                </c:pt>
                <c:pt idx="4">
                  <c:v>10.55249745158002</c:v>
                </c:pt>
                <c:pt idx="5">
                  <c:v>10.269622833843018</c:v>
                </c:pt>
                <c:pt idx="6">
                  <c:v>9.933843017329254</c:v>
                </c:pt>
                <c:pt idx="7">
                  <c:v>9.5459734964322109</c:v>
                </c:pt>
                <c:pt idx="8">
                  <c:v>8.9241590214067283</c:v>
                </c:pt>
                <c:pt idx="9">
                  <c:v>8.1925586136595303</c:v>
                </c:pt>
                <c:pt idx="10">
                  <c:v>6.9281345565749239</c:v>
                </c:pt>
                <c:pt idx="11">
                  <c:v>6.0283384301732923</c:v>
                </c:pt>
                <c:pt idx="12">
                  <c:v>4.9563710499490314</c:v>
                </c:pt>
                <c:pt idx="13">
                  <c:v>4.255963302752293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39-496E-AE05-A8654707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49951"/>
        <c:axId val="865008415"/>
      </c:scatterChart>
      <c:valAx>
        <c:axId val="8358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Flowrate</a:t>
                </a:r>
                <a:r>
                  <a:rPr lang="fr-FR" baseline="0"/>
                  <a:t> [L/min]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5008415"/>
        <c:crosses val="autoZero"/>
        <c:crossBetween val="midCat"/>
      </c:valAx>
      <c:valAx>
        <c:axId val="8650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Available pressure [mWp]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84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394153</xdr:colOff>
      <xdr:row>6</xdr:row>
      <xdr:rowOff>173266</xdr:rowOff>
    </xdr:from>
    <xdr:to>
      <xdr:col>38</xdr:col>
      <xdr:colOff>489403</xdr:colOff>
      <xdr:row>20</xdr:row>
      <xdr:rowOff>48534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E522F82-199D-AC97-E01D-B02D53161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14435</xdr:colOff>
      <xdr:row>7</xdr:row>
      <xdr:rowOff>12324</xdr:rowOff>
    </xdr:from>
    <xdr:to>
      <xdr:col>46</xdr:col>
      <xdr:colOff>109685</xdr:colOff>
      <xdr:row>20</xdr:row>
      <xdr:rowOff>66589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0FBF35C-E3A5-4D93-8F6B-00D4B8FE12E2}"/>
            </a:ext>
            <a:ext uri="{147F2762-F138-4A5C-976F-8EAC2B608ADB}">
              <a16:predDERef xmlns:a16="http://schemas.microsoft.com/office/drawing/2014/main" pred="{2E522F82-199D-AC97-E01D-B02D53161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192273</xdr:colOff>
      <xdr:row>21</xdr:row>
      <xdr:rowOff>14679</xdr:rowOff>
    </xdr:from>
    <xdr:to>
      <xdr:col>42</xdr:col>
      <xdr:colOff>287523</xdr:colOff>
      <xdr:row>36</xdr:row>
      <xdr:rowOff>85725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35A3FDD-4CDE-41BD-B0B6-B1CCF61AC020}"/>
            </a:ext>
            <a:ext uri="{147F2762-F138-4A5C-976F-8EAC2B608ADB}">
              <a16:predDERef xmlns:a16="http://schemas.microsoft.com/office/drawing/2014/main" pred="{D0FBF35C-E3A5-4D93-8F6B-00D4B8FE1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476249</xdr:colOff>
      <xdr:row>38</xdr:row>
      <xdr:rowOff>0</xdr:rowOff>
    </xdr:from>
    <xdr:to>
      <xdr:col>38</xdr:col>
      <xdr:colOff>571499</xdr:colOff>
      <xdr:row>53</xdr:row>
      <xdr:rowOff>79375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5E1B2B7-066F-45E1-8080-4C0CFBC0FA3B}"/>
            </a:ext>
            <a:ext uri="{147F2762-F138-4A5C-976F-8EAC2B608ADB}">
              <a16:predDERef xmlns:a16="http://schemas.microsoft.com/office/drawing/2014/main" pred="{935A3FDD-4CDE-41BD-B0B6-B1CCF61AC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86591</xdr:colOff>
      <xdr:row>38</xdr:row>
      <xdr:rowOff>0</xdr:rowOff>
    </xdr:from>
    <xdr:to>
      <xdr:col>46</xdr:col>
      <xdr:colOff>181841</xdr:colOff>
      <xdr:row>53</xdr:row>
      <xdr:rowOff>85725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3722BD9-D401-4995-AF2D-C30BE5E40963}"/>
            </a:ext>
            <a:ext uri="{147F2762-F138-4A5C-976F-8EAC2B608ADB}">
              <a16:predDERef xmlns:a16="http://schemas.microsoft.com/office/drawing/2014/main" pred="{15E1B2B7-066F-45E1-8080-4C0CFBC0F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432955</xdr:colOff>
      <xdr:row>54</xdr:row>
      <xdr:rowOff>51955</xdr:rowOff>
    </xdr:from>
    <xdr:to>
      <xdr:col>42</xdr:col>
      <xdr:colOff>528205</xdr:colOff>
      <xdr:row>69</xdr:row>
      <xdr:rowOff>137679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B7D73DE-7315-4FBF-814F-7BEE5B5A134E}"/>
            </a:ext>
            <a:ext uri="{147F2762-F138-4A5C-976F-8EAC2B608ADB}">
              <a16:predDERef xmlns:a16="http://schemas.microsoft.com/office/drawing/2014/main" pred="{A3722BD9-D401-4995-AF2D-C30BE5E40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346075</xdr:colOff>
      <xdr:row>0</xdr:row>
      <xdr:rowOff>101600</xdr:rowOff>
    </xdr:from>
    <xdr:to>
      <xdr:col>9</xdr:col>
      <xdr:colOff>346075</xdr:colOff>
      <xdr:row>13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E53E343-E670-47B7-4EA2-714A27BF6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339725</xdr:colOff>
      <xdr:row>14</xdr:row>
      <xdr:rowOff>63500</xdr:rowOff>
    </xdr:from>
    <xdr:to>
      <xdr:col>9</xdr:col>
      <xdr:colOff>339725</xdr:colOff>
      <xdr:row>26</xdr:row>
      <xdr:rowOff>152400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C868E232-B91F-496C-B664-2F380DA647BB}"/>
            </a:ext>
            <a:ext uri="{147F2762-F138-4A5C-976F-8EAC2B608ADB}">
              <a16:predDERef xmlns:a16="http://schemas.microsoft.com/office/drawing/2014/main" pred="{3E53E343-E670-47B7-4EA2-714A27BF6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726194</xdr:colOff>
      <xdr:row>11</xdr:row>
      <xdr:rowOff>35179</xdr:rowOff>
    </xdr:from>
    <xdr:to>
      <xdr:col>12</xdr:col>
      <xdr:colOff>862265</xdr:colOff>
      <xdr:row>26</xdr:row>
      <xdr:rowOff>62260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0CA2004-E311-E81A-17BC-FDA1CAE5E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684919</xdr:colOff>
      <xdr:row>11</xdr:row>
      <xdr:rowOff>30417</xdr:rowOff>
    </xdr:from>
    <xdr:to>
      <xdr:col>19</xdr:col>
      <xdr:colOff>589669</xdr:colOff>
      <xdr:row>26</xdr:row>
      <xdr:rowOff>60673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C726756-29EF-47D7-9ADA-E8E40BF28AC3}"/>
            </a:ext>
            <a:ext uri="{147F2762-F138-4A5C-976F-8EAC2B608ADB}">
              <a16:predDERef xmlns:a16="http://schemas.microsoft.com/office/drawing/2014/main" pred="{40CA2004-E311-E81A-17BC-FDA1CAE5E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21344</xdr:colOff>
      <xdr:row>30</xdr:row>
      <xdr:rowOff>79723</xdr:rowOff>
    </xdr:from>
    <xdr:to>
      <xdr:col>12</xdr:col>
      <xdr:colOff>919415</xdr:colOff>
      <xdr:row>45</xdr:row>
      <xdr:rowOff>98773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ED6FDB6-350D-4AC0-9428-B0537B8FE2EC}"/>
            </a:ext>
            <a:ext uri="{147F2762-F138-4A5C-976F-8EAC2B608ADB}">
              <a16:predDERef xmlns:a16="http://schemas.microsoft.com/office/drawing/2014/main" pred="{FC726756-29EF-47D7-9ADA-E8E40BF28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707144</xdr:colOff>
      <xdr:row>30</xdr:row>
      <xdr:rowOff>22573</xdr:rowOff>
    </xdr:from>
    <xdr:to>
      <xdr:col>19</xdr:col>
      <xdr:colOff>611894</xdr:colOff>
      <xdr:row>45</xdr:row>
      <xdr:rowOff>41623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00A7BFD-7344-4880-96C9-4E259447DE2E}"/>
            </a:ext>
            <a:ext uri="{147F2762-F138-4A5C-976F-8EAC2B608ADB}">
              <a16:predDERef xmlns:a16="http://schemas.microsoft.com/office/drawing/2014/main" pred="{8ED6FDB6-350D-4AC0-9428-B0537B8F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49</xdr:row>
      <xdr:rowOff>7937</xdr:rowOff>
    </xdr:from>
    <xdr:to>
      <xdr:col>12</xdr:col>
      <xdr:colOff>942067</xdr:colOff>
      <xdr:row>64</xdr:row>
      <xdr:rowOff>38193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9C7554-07C0-4CEC-9B9F-96E74B1CDF97}"/>
            </a:ext>
            <a:ext uri="{147F2762-F138-4A5C-976F-8EAC2B608ADB}">
              <a16:predDERef xmlns:a16="http://schemas.microsoft.com/office/drawing/2014/main" pred="{B00A7BFD-7344-4880-96C9-4E259447D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761546</xdr:colOff>
      <xdr:row>49</xdr:row>
      <xdr:rowOff>0</xdr:rowOff>
    </xdr:from>
    <xdr:to>
      <xdr:col>19</xdr:col>
      <xdr:colOff>666296</xdr:colOff>
      <xdr:row>64</xdr:row>
      <xdr:rowOff>36606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30C1658-8D38-4437-998A-9945DDAE8127}"/>
            </a:ext>
            <a:ext uri="{147F2762-F138-4A5C-976F-8EAC2B608ADB}">
              <a16:predDERef xmlns:a16="http://schemas.microsoft.com/office/drawing/2014/main" pred="{C39C7554-07C0-4CEC-9B9F-96E74B1CDF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97971</xdr:colOff>
      <xdr:row>68</xdr:row>
      <xdr:rowOff>55656</xdr:rowOff>
    </xdr:from>
    <xdr:to>
      <xdr:col>12</xdr:col>
      <xdr:colOff>999217</xdr:colOff>
      <xdr:row>83</xdr:row>
      <xdr:rowOff>88313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130DC96-9857-47FF-A1FD-AD9151C12A43}"/>
            </a:ext>
            <a:ext uri="{147F2762-F138-4A5C-976F-8EAC2B608ADB}">
              <a16:predDERef xmlns:a16="http://schemas.microsoft.com/office/drawing/2014/main" pred="{D30C1658-8D38-4437-998A-9945DDAE8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783771</xdr:colOff>
      <xdr:row>67</xdr:row>
      <xdr:rowOff>175399</xdr:rowOff>
    </xdr:from>
    <xdr:to>
      <xdr:col>19</xdr:col>
      <xdr:colOff>688521</xdr:colOff>
      <xdr:row>83</xdr:row>
      <xdr:rowOff>31163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661D8EF7-35C9-4F07-9448-B182BA686FAF}"/>
            </a:ext>
            <a:ext uri="{147F2762-F138-4A5C-976F-8EAC2B608ADB}">
              <a16:predDERef xmlns:a16="http://schemas.microsoft.com/office/drawing/2014/main" pred="{7130DC96-9857-47FF-A1FD-AD9151C12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8BA14-B10E-4427-942F-7FC57D24F677}" name="CapacityTable" displayName="CapacityTable" ref="A1:M609" totalsRowShown="0" headerRowDxfId="29" dataDxfId="28">
  <autoFilter ref="A1:M609" xr:uid="{9358BA14-B10E-4427-942F-7FC57D24F677}"/>
  <sortState xmlns:xlrd2="http://schemas.microsoft.com/office/spreadsheetml/2017/richdata2" ref="A562:M584">
    <sortCondition ref="D1:D609"/>
  </sortState>
  <tableColumns count="13">
    <tableColumn id="1" xr3:uid="{4824138F-A35A-4EED-B00A-BBDE3F0FF0DD}" name="Model"/>
    <tableColumn id="8" xr3:uid="{5CE1E8F0-F89A-4733-9EED-52B51857C606}" name="Type" dataDxfId="27"/>
    <tableColumn id="2" xr3:uid="{6D3FDC2C-E534-4FC2-8B0B-E2630059E068}" name="T ext" dataDxfId="26"/>
    <tableColumn id="3" xr3:uid="{72CC9FFD-ADB7-4002-A4A6-642A1A66AED0}" name="T water out" dataDxfId="25"/>
    <tableColumn id="4" xr3:uid="{2CA98733-E8D5-488B-A4B2-314D1B9F95D5}" name="Capacity_x000a_[kW]" dataDxfId="24"/>
    <tableColumn id="5" xr3:uid="{45171681-2811-4688-8A47-B89808436D94}" name="Power input_x000a_[kW]" dataDxfId="23"/>
    <tableColumn id="6" xr3:uid="{5F178EAE-EC43-4D9C-87F2-0B4A9EA3FFED}" name="COP / EER" dataDxfId="22"/>
    <tableColumn id="14" xr3:uid="{CB57E0C4-C258-4F92-B887-07C5A0DC084F}" name="Flowrate [m3/h]" dataDxfId="21"/>
    <tableColumn id="12" xr3:uid="{95879979-110D-404C-9B99-21BF3F1DD521}" name="Mode" dataDxfId="20"/>
    <tableColumn id="10" xr3:uid="{D2985446-4EEC-44F2-B457-A107A120BFCC}" name="Results origin" dataDxfId="19"/>
    <tableColumn id="7" xr3:uid="{ADFA98DC-562F-4422-A7E5-96F2DAC75C0A}" name="Source" dataDxfId="18"/>
    <tableColumn id="13" xr3:uid="{9F23C2EF-6B2F-447F-8FA9-C1A514DA67FE}" name="Priority" dataDxfId="17"/>
    <tableColumn id="9" xr3:uid="{4F704373-25E2-40C9-BD53-D3E0D91245F4}" name="Checksum" dataDxfId="16">
      <calculatedColumnFormula>CapacityTable[[#This Row],[Model]]&amp;CapacityTable[[#This Row],[Type]]&amp;CapacityTable[[#This Row],[T ext]]&amp;CapacityTable[[#This Row],[T water out]]&amp;CapacityTable[[#This Row],[Results origin]]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AE0D5-C3A5-4FDB-9E36-1B86726F8FAC}" name="Tableau2" displayName="Tableau2" ref="A1:K2" totalsRowShown="0" headerRowDxfId="15" dataDxfId="13" headerRowBorderDxfId="14" tableBorderDxfId="12" totalsRowBorderDxfId="11">
  <autoFilter ref="A1:K2" xr:uid="{D7DAE0D5-C3A5-4FDB-9E36-1B86726F8FAC}"/>
  <tableColumns count="11">
    <tableColumn id="1" xr3:uid="{0A2D2537-1724-4E0D-8363-A4A4B21C9A16}" name="Model" dataDxfId="10"/>
    <tableColumn id="11" xr3:uid="{E5952177-36A6-4C58-880C-8CDD0026A7B9}" name="Type" dataDxfId="9"/>
    <tableColumn id="2" xr3:uid="{F5DBD6AF-571F-4F3E-8E72-F5BD6CF0A00C}" name="T ext" dataDxfId="8"/>
    <tableColumn id="3" xr3:uid="{018F5BBE-220C-4F67-B375-3451DA9EBBDC}" name="T water out" dataDxfId="7"/>
    <tableColumn id="4" xr3:uid="{F8850F84-CC38-44A6-B829-60A75437E7B2}" name="Capacity" dataDxfId="6"/>
    <tableColumn id="5" xr3:uid="{6A34E986-616F-4845-B325-046D96C703E9}" name="Power input" dataDxfId="5"/>
    <tableColumn id="6" xr3:uid="{7A251C47-D6B9-44BA-B69B-43D20ED2919A}" name="COP" dataDxfId="4"/>
    <tableColumn id="8" xr3:uid="{9BE20FEA-D9DD-45B8-A757-7E19C75C7528}" name="Flowrate" dataDxfId="3"/>
    <tableColumn id="7" xr3:uid="{7C730F9D-DC28-413C-8677-B9687550FDAB}" name="Mode" dataDxfId="2"/>
    <tableColumn id="9" xr3:uid="{0310ED98-9B4E-4A83-B19D-D3A20C49279F}" name="Results origin" dataDxfId="1"/>
    <tableColumn id="10" xr3:uid="{77D2E616-2682-4B01-BA8F-BCEB400E5B67}" name="Sour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drtg.sharepoint.com/:b:/r/sites/npd3203-mb4rin-housedevelopment/Shared%20Documents/03%20Qualification/06%20Certification/HP%20Keymark/MB4R%20HP%20Keymark%206%20%26%209%20kW/3-Tests%209kW/Tests%20reports/KIWA/(P000263666)_MB4R%20BROTJE%209kW%20+%20BAXI%20MK%20SYSTEM%20_HMTA_Appl%20R._A-7W55.pdf?csf=1&amp;web=1&amp;e=oI3yzG" TargetMode="External"/><Relationship Id="rId1" Type="http://schemas.openxmlformats.org/officeDocument/2006/relationships/hyperlink" Target="https://bdrtg.sharepoint.com/:b:/r/sites/npd3203-mb4rin-housedevelopment/Shared%20Documents/03%20Qualification/06%20Certification/HP%20Keymark/MB4R%20HP%20Keymark%206%20%26%209%20kW/3-Tests%206kW/Tests%20reports/RE%2023-02_1_14511%20+%2014825.pdf?csf=1&amp;web=1&amp;e=4SwTj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21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2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7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3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8" Type="http://schemas.openxmlformats.org/officeDocument/2006/relationships/hyperlink" Target="../../../../../../../../:p:/g/personal/hanae_mbarki_bdrtg_net/EdKsPrzeqGZEv0K9X_lvE78BlsIWVEo8odWjxzcc-j_FxQ?CID=91dfb55d-7093-9bee-cbeb-719e5fe68f7d" TargetMode="External"/><Relationship Id="rId84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9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2" Type="http://schemas.openxmlformats.org/officeDocument/2006/relationships/hyperlink" Target="https://bdrtg.sharepoint.com/sites/fr-simulation/Projects/Forms/AllItems.aspx?newTargetListUrl=%2Fsites%2Ffr%2Dsimulation%2FProjects&amp;viewpath=%2Fsites%2Ffr%2Dsimulation%2FProjects%2FForms%2FAllItems%2Easpx&amp;id=%2Fsites%2Ffr%2Dsimulation%2FProjects%2F3203%5FMB4R%2FMultiPhysics%2FProtoSG4%2FSREQ24%2D0019&amp;viewid=c45070c2%2D51d9%2D4462%2Da83a%2D071cc128b6dd" TargetMode="External"/><Relationship Id="rId16" Type="http://schemas.openxmlformats.org/officeDocument/2006/relationships/hyperlink" Target="https://bdrtg.sharepoint.com/sites/npd3203-mb4rin-housedevelopment/Shared%20Documents/Forms/AllItems.aspx?id=%2Fsites%2Fnpd3203%2Dmb4rin%2Dhousedevelopment%2FShared%20Documents%2F03%20Qualification%2F06%20Certification%2FHP%20Keymark%2FMB4R%20HP%20Keymark%206%20%26%209%20kW%2F3%2DTests%209kW%2FTests%20reports%2FKIWA%2F%28P000263666%29%5FMB4R%20BROTJE%209kW%20%2B%20BAXI%20MK%20SYSTEM%20%5FHMTA%5FStd%2E%20R%2E%5FA7W55%2Epdf&amp;viewid=059290e8%2Dd33d%2D4be7%2Db61f%2D6697e0cb2e0d&amp;parent=%2Fsites%2Fnpd3203%2Dmb4rin%2Dhousedevelopment%2FShared%20Documents%2F03%20Qualification%2F06%20Certification%2FHP%20Keymark%2FMB4R%20HP%20Keymark%206%20%26%209%20kW%2F3%2DTests%209kW%2FTests%20reports%2FKIWA" TargetMode="External"/><Relationship Id="rId29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107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1" Type="http://schemas.openxmlformats.org/officeDocument/2006/relationships/hyperlink" Target="https://bdrtg.sharepoint.com/sites/npd3203-mb4rin-housedevelopment/Shared%20Documents/Forms/AllItems.aspx?id=%2Fsites%2Fnpd3203%2Dmb4rin%2Dhousedevelopment%2FShared%20Documents%2F03%20Qualification%2F06%20Certification%2FHP%20Keymark%2FMB4R%20HP%20Keymark%206%20%26%209%20kW%2F3%2DTests%209kW%2FTests%20reports%2FKIWA%2F%28P000263666%29%5FMB4R%20BROTJE%209kW%20%2B%20BAXI%20MK%20SYSTEM%20%5FHLTA%5FAppl%20R%2E%5FA2W35%2Epdf&amp;parent=%2Fsites%2Fnpd3203%2Dmb4rin%2Dhousedevelopment%2FShared%20Documents%2F03%20Qualification%2F06%20Certification%2FHP%20Keymark%2FMB4R%20HP%20Keymark%206%20%26%209%20kW%2F3%2DTests%209kW%2FTests%20reports%2FKIWA" TargetMode="External"/><Relationship Id="rId24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32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37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0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5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53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58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6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74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79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7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2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61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2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90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95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9" Type="http://schemas.openxmlformats.org/officeDocument/2006/relationships/hyperlink" Target="../../../../../../../../:p:/g/personal/hanae_mbarki_bdrtg_net/EdKsPrzeqGZEv0K9X_lvE78BlsIWVEo8odWjxzcc-j_FxQ?CID=91dfb55d-7093-9bee-cbeb-719e5fe68f7d" TargetMode="External"/><Relationship Id="rId14" Type="http://schemas.openxmlformats.org/officeDocument/2006/relationships/hyperlink" Target="https://bdrtg.sharepoint.com/sites/npd3203-mb4rin-housedevelopment/Shared%20Documents/Forms/AllItems.aspx?id=%2Fsites%2Fnpd3203%2Dmb4rin%2Dhousedevelopment%2FShared%20Documents%2F03%20Qualification%2F06%20Certification%2FHP%20Keymark%2FMB4R%20HP%20Keymark%206%20%26%209%20kW%2F3%2DTests%209kW%2FTests%20reports%2FKIWA%2F%28P000263666%29%5FMB4R%20BROTJE%209kW%20%2B%20BAXI%20MK%20SYSTEM%20%5FHMTA%5FAppl%20R%2E%5FA%2D7W55%2Epdf&amp;parent=%2Fsites%2Fnpd3203%2Dmb4rin%2Dhousedevelopment%2FShared%20Documents%2F03%20Qualification%2F06%20Certification%2FHP%20Keymark%2FMB4R%20HP%20Keymark%206%20%26%209%20kW%2F3%2DTests%209kW%2FTests%20reports%2FKIWA" TargetMode="External"/><Relationship Id="rId22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27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30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35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3" Type="http://schemas.openxmlformats.org/officeDocument/2006/relationships/hyperlink" Target="https://bdrtg.sharepoint.com/sites/npd3203-mb4rin-housedevelopment/Shared%20Documents/03%20Qualification/05%20Qualification%20reports/Performances%20-%20Heating%20nominal%20(P1)/RE%2023-02_1_14511%20+%2014825.pdf" TargetMode="External"/><Relationship Id="rId48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56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4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69" Type="http://schemas.openxmlformats.org/officeDocument/2006/relationships/hyperlink" Target="../../../../../../../../:p:/g/personal/hanae_mbarki_bdrtg_net/EdKsPrzeqGZEv0K9X_lvE78BlsIWVEo8odWjxzcc-j_FxQ?CID=91dfb55d-7093-9bee-cbeb-719e5fe68f7d" TargetMode="External"/><Relationship Id="rId77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0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5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" Type="http://schemas.openxmlformats.org/officeDocument/2006/relationships/hyperlink" Target="https://www.heatpumpkeymark.com/en/?type=109126&amp;tx_pskeymark_frontend%5Bsubtype%5D=4762&amp;tx_pskeymark_frontend%5Baction%5D=showSubtype&amp;tx_pskeymark_frontend%5Bcontroller%5D=Frontend&amp;cHash=56b13333486df221449797d8966e78dd" TargetMode="External"/><Relationship Id="rId51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72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0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5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93" Type="http://schemas.openxmlformats.org/officeDocument/2006/relationships/hyperlink" Target="../../../../../../../../:p:/g/personal/hanae_mbarki_bdrtg_net/EdKsPrzeqGZEv0K9X_lvE78BlsIWVEo8odWjxzcc-j_FxQ?CID=91dfb55d-7093-9bee-cbeb-719e5fe68f7d" TargetMode="External"/><Relationship Id="rId98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3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12" Type="http://schemas.openxmlformats.org/officeDocument/2006/relationships/hyperlink" Target="https://www.heatpumpkeymark.com/en/?type=109126&amp;tx_pskeymark_frontend%5Bsubtype%5D=4253&amp;tx_pskeymark_frontend%5Baction%5D=showSubtype&amp;tx_pskeymark_frontend%5Bcontroller%5D=Frontend&amp;cHash=8bde28b8672a28c0f24ed3f80e1f402c" TargetMode="External"/><Relationship Id="rId17" Type="http://schemas.openxmlformats.org/officeDocument/2006/relationships/hyperlink" Target="https://bdrtg.sharepoint.com/sites/npd3203-mb4rin-housedevelopment/Shared%20Documents/Forms/AllItems.aspx?id=%2Fsites%2Fnpd3203%2Dmb4rin%2Dhousedevelopment%2FShared%20Documents%2F03%20Qualification%2F06%20Certification%2FHP%20Keymark%2FMB4R%20HP%20Keymark%206%20%26%209%20kW%2F3%2DTests%209kW%2FTests%20reports%2FKIWA%2F%28P000263666%29%5FMB4R%20BROTJE%209kW%20%2B%20BAXI%20MK%5FHLTA%5FStd%20R%2E%5FA7W35%2Epdf&amp;viewid=059290e8%2Dd33d%2D4be7%2Db61f%2D6697e0cb2e0d&amp;parent=%2Fsites%2Fnpd3203%2Dmb4rin%2Dhousedevelopment%2FShared%20Documents%2F03%20Qualification%2F06%20Certification%2FHP%20Keymark%2FMB4R%20HP%20Keymark%206%20%26%209%20kW%2F3%2DTests%209kW%2FTests%20reports%2FKIWA" TargetMode="External"/><Relationship Id="rId25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33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38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6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59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7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103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8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20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1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54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2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70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75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3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8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91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96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11" Type="http://schemas.openxmlformats.org/officeDocument/2006/relationships/table" Target="../tables/table1.xml"/><Relationship Id="rId1" Type="http://schemas.openxmlformats.org/officeDocument/2006/relationships/hyperlink" Target="https://bdrtg.sharepoint.com/sites/fr-simulation/Projects/Forms/AllItems.aspx?newTargetListUrl=%2Fsites%2Ffr%2Dsimulation%2FProjects&amp;viewpath=%2Fsites%2Ffr%2Dsimulation%2FProjects%2FForms%2FAllItems%2Easpx&amp;id=%2Fsites%2Ffr%2Dsimulation%2FProjects%2F3203%5FMB4R%2FMultiPhysics%2FProtoSG4%2FSREQ24%2D0019&amp;viewid=c45070c2%2D51d9%2D4462%2Da83a%2D071cc128b6dd" TargetMode="External"/><Relationship Id="rId6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15" Type="http://schemas.openxmlformats.org/officeDocument/2006/relationships/hyperlink" Target="https://bdrtg.sharepoint.com/sites/npd3203-mb4rin-housedevelopment/Shared%20Documents/Forms/AllItems.aspx?id=%2Fsites%2Fnpd3203%2Dmb4rin%2Dhousedevelopment%2FShared%20Documents%2F03%20Qualification%2F06%20Certification%2FHP%20Keymark%2FMB4R%20HP%20Keymark%206%20%26%209%20kW%2F3%2DTests%209kW%2FTests%20reports%2FKIWA%2F%28P000263666%29%5FMB4R%20BROTJE%209kW%20%2B%20BAXI%20MK%20SYSTEM%20%5FHLTA%5FAppl%20R%2E%5FA%2D7W35%2Epdf&amp;parent=%2Fsites%2Fnpd3203%2Dmb4rin%2Dhousedevelopment%2FShared%20Documents%2F03%20Qualification%2F06%20Certification%2FHP%20Keymark%2FMB4R%20HP%20Keymark%206%20%26%209%20kW%2F3%2DTests%209kW%2FTests%20reports%2FKIWA" TargetMode="External"/><Relationship Id="rId23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28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36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9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57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6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" Type="http://schemas.openxmlformats.org/officeDocument/2006/relationships/hyperlink" Target="https://www.heatpumpkeymark.com/en/?type=109126&amp;tx_pskeymark_frontend%5Bsubtype%5D=4762&amp;tx_pskeymark_frontend%5Baction%5D=showSubtype&amp;tx_pskeymark_frontend%5Bcontroller%5D=Frontend&amp;cHash=56b13333486df221449797d8966e78dd" TargetMode="External"/><Relationship Id="rId31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44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52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0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65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73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78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1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86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94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99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1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4" Type="http://schemas.openxmlformats.org/officeDocument/2006/relationships/hyperlink" Target="https://bdrtg.sharepoint.com/:f:/r/sites/fr-simulation/Projects/3203_MB4R/MultiPhysics/COOLING/SREQ23-0096%20MaxEER?csf=1&amp;web=1&amp;e=jxXAAH" TargetMode="External"/><Relationship Id="rId9" Type="http://schemas.openxmlformats.org/officeDocument/2006/relationships/hyperlink" Target="https://bdrtg.sharepoint.com/:b:/r/sites/npd3203-mb4rin-housedevelopment/Shared%20Documents/03%20Qualification/06%20Certification/HP%20Keymark/MB4R%20HP%20Keymark%206%20%26%209%20kW/3-Tests%206kW/Tests%20reports/RE%2023-02_1_14511%20+%2014825.pdf?csf=1&amp;web=1&amp;e=4SwTj3" TargetMode="External"/><Relationship Id="rId13" Type="http://schemas.openxmlformats.org/officeDocument/2006/relationships/hyperlink" Target="https://www.heatpumpkeymark.com/en/?type=109126&amp;tx_pskeymark_frontend%5Bsubtype%5D=4253&amp;tx_pskeymark_frontend%5Baction%5D=showSubtype&amp;tx_pskeymark_frontend%5Bcontroller%5D=Frontend&amp;cHash=8bde28b8672a28c0f24ed3f80e1f402c" TargetMode="External"/><Relationship Id="rId18" Type="http://schemas.openxmlformats.org/officeDocument/2006/relationships/hyperlink" Target="../../../../../../../../:p:/g/personal/hanae_mbarki_bdrtg_net/EdKsPrzeqGZEv0K9X_lvE78BlsIWVEo8odWjxzcc-j_FxQ?CID=91dfb55d-7093-9bee-cbeb-719e5fe68f7d" TargetMode="External"/><Relationship Id="rId39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109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34" Type="http://schemas.openxmlformats.org/officeDocument/2006/relationships/hyperlink" Target="https://bdrtg.sharepoint.com/:x:/r/sites/fr-simulation/_layouts/15/Doc.aspx?sourcedoc=%7B40613F81-28C4-40DB-8CF0-67EAF6E4DCF0%7D&amp;file=DataTables6kWFinal.xlsx&amp;action=default&amp;mobileredirect=true" TargetMode="External"/><Relationship Id="rId50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55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76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97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104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7" Type="http://schemas.openxmlformats.org/officeDocument/2006/relationships/hyperlink" Target="https://bdrtg.sharepoint.com/:f:/r/sites/fr-simulation/Projects/3203_MB4R/MultiPhysics/ProtoSG4/SREQ23-0063?csf=1&amp;web=1&amp;e=aNpET1" TargetMode="External"/><Relationship Id="rId71" Type="http://schemas.openxmlformats.org/officeDocument/2006/relationships/hyperlink" Target="https://bdrtg.sharepoint.com/sites/fr-simulation/Projects/Forms/AllItems.aspx?xsdata=MDV8MDJ8fGFjNDM2MjQ4MDNiYjQwZDFjZmE5MDhkYzk3NTY4NGY4fDk1YTI0YmRiZTJhNDRiNDFiZGRlYmYzZmFjMjU0N2EwfDB8MHw2Mzg1NTE2NDUwMzM2NDgwNDF8VW5rbm93bnxWR1ZoYlhOVFpXTjFjbWwwZVZObGNuWnBZMlY4ZXlKV0lqb2lNQzR3TGpBd01EQWlMQ0pRSWpvaVYybHVNeklpTENKQlRpSTZJazkwYUdWeUlpd2lWMVFpT2pFeGZRPT18MXxMMk5vWVhSekx6RTVPak0yWWpSak0yWmhMV1prWVdVdE5ESTVNQzFoWmpFNUxUQm1aRE16TkdJNU56TXlNMTlsTm1FeVpEZ3dZaTB6WVRNMExUUmpNMkl0T0RNMk1TMDFPREkzWmpjMFpHVTNNak5BZFc1eExtZGliQzV6Y0dGalpYTXZiV1Z6YzJGblpYTXZNVGN4T1RVMk56Y3dNamcxTUE9PXxiNWQyZjVlNjNmZTI0OTQ2Y2ZhOTA4ZGM5NzU2ODRmOHxjZTJkMTZlZDIxZDc0OTkyOGY1OTAwMTBlYmQyZTA0Yw%3D%3D&amp;sdata=K2J3YTJ2NEw2ZkxJK0w3ZFVOSEZHaThCaWVSdmZnWDFzNVVtWGJNcWphOD0%3D&amp;ovuser=95a24bdb%2De2a4%2D4b41%2Dbdde%2Dbf3fac2547a0%2Cloic%2Emochel%40bdrtg%2Enet&amp;OR=Teams%2DHL&amp;CT=1720093290996&amp;clickparams=eyJBcHBOYW1lIjoiVGVhbXMtRGVza3RvcCIsIkFwcFZlcnNpb24iOiI0OS8yNDA2MTMxODQwNiIsIkhhc0ZlZGVyYXRlZFVzZXIiOmZhbHNlfQ%3D%3D&amp;id=%2Fsites%2Ffr%2Dsimulation%2FProjects%2F3203%5FMB4R%2FMultiPhysics%2FCOOLING%2FSREQ23%2D0083%20Performance%20tables%2FDatatables%20final&amp;viewid=c45070c2%2D51d9%2D4462%2Da83a%2D071cc128b6dd" TargetMode="External"/><Relationship Id="rId92" Type="http://schemas.openxmlformats.org/officeDocument/2006/relationships/hyperlink" Target="../../../../../../../../:p:/g/personal/hanae_mbarki_bdrtg_net/EdKsPrzeqGZEv0K9X_lvE78BlsIWVEo8odWjxzcc-j_FxQ?CID=91dfb55d-7093-9bee-cbeb-719e5fe68f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0EB5-4BA9-4830-8C2F-BA3A8A5278EE}">
  <dimension ref="B3:D8"/>
  <sheetViews>
    <sheetView workbookViewId="0">
      <selection activeCell="E19" sqref="E19"/>
    </sheetView>
  </sheetViews>
  <sheetFormatPr defaultColWidth="11.42578125" defaultRowHeight="15" x14ac:dyDescent="0.25"/>
  <cols>
    <col min="4" max="4" width="24.42578125" bestFit="1" customWidth="1"/>
  </cols>
  <sheetData>
    <row r="3" spans="2:4" x14ac:dyDescent="0.25">
      <c r="B3" t="s">
        <v>0</v>
      </c>
    </row>
    <row r="6" spans="2:4" x14ac:dyDescent="0.25">
      <c r="B6" t="s">
        <v>1</v>
      </c>
    </row>
    <row r="7" spans="2:4" x14ac:dyDescent="0.25">
      <c r="B7" t="s">
        <v>2</v>
      </c>
      <c r="C7" t="s">
        <v>3</v>
      </c>
      <c r="D7" t="s">
        <v>4</v>
      </c>
    </row>
    <row r="8" spans="2:4" x14ac:dyDescent="0.25">
      <c r="B8" s="121">
        <v>45345</v>
      </c>
      <c r="C8" t="s">
        <v>5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zoomScaleNormal="100" workbookViewId="0">
      <selection activeCell="C18" sqref="C18"/>
    </sheetView>
  </sheetViews>
  <sheetFormatPr defaultColWidth="8.5703125" defaultRowHeight="12" x14ac:dyDescent="0.2"/>
  <cols>
    <col min="1" max="1" width="2.140625" style="3" customWidth="1"/>
    <col min="2" max="2" width="13.5703125" style="3" customWidth="1"/>
    <col min="3" max="3" width="10" style="3" customWidth="1"/>
    <col min="4" max="4" width="9.5703125" style="3" customWidth="1"/>
    <col min="5" max="5" width="10.140625" style="3" customWidth="1"/>
    <col min="6" max="6" width="12.5703125" style="3" customWidth="1"/>
    <col min="7" max="7" width="14" style="3" customWidth="1"/>
    <col min="8" max="8" width="10.140625" style="3" customWidth="1"/>
    <col min="9" max="9" width="12.5703125" style="3" customWidth="1"/>
    <col min="10" max="10" width="13.5703125" style="3" customWidth="1"/>
    <col min="11" max="11" width="10.140625" style="3" customWidth="1"/>
    <col min="12" max="12" width="12.5703125" style="3" customWidth="1"/>
    <col min="13" max="13" width="13.85546875" style="3" customWidth="1"/>
    <col min="14" max="16384" width="8.5703125" style="3"/>
  </cols>
  <sheetData>
    <row r="1" spans="1:14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5" x14ac:dyDescent="0.2">
      <c r="A2" s="5"/>
      <c r="B2" s="12" t="s">
        <v>7</v>
      </c>
      <c r="C2" s="249" t="s">
        <v>8</v>
      </c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6"/>
    </row>
    <row r="3" spans="1:14" ht="15" x14ac:dyDescent="0.2">
      <c r="A3" s="5"/>
      <c r="B3" s="249" t="s">
        <v>9</v>
      </c>
      <c r="C3" s="250" t="s">
        <v>10</v>
      </c>
      <c r="D3" s="250" t="s">
        <v>11</v>
      </c>
      <c r="E3" s="248" t="s">
        <v>12</v>
      </c>
      <c r="F3" s="248"/>
      <c r="G3" s="248"/>
      <c r="H3" s="248" t="s">
        <v>13</v>
      </c>
      <c r="I3" s="248"/>
      <c r="J3" s="248"/>
      <c r="K3" s="248" t="s">
        <v>14</v>
      </c>
      <c r="L3" s="248"/>
      <c r="M3" s="248"/>
      <c r="N3" s="6"/>
    </row>
    <row r="4" spans="1:14" ht="64.5" customHeight="1" x14ac:dyDescent="0.2">
      <c r="A4" s="5"/>
      <c r="B4" s="249"/>
      <c r="C4" s="250"/>
      <c r="D4" s="250"/>
      <c r="E4" s="13" t="s">
        <v>15</v>
      </c>
      <c r="F4" s="13" t="s">
        <v>16</v>
      </c>
      <c r="G4" s="13" t="s">
        <v>17</v>
      </c>
      <c r="H4" s="13" t="s">
        <v>15</v>
      </c>
      <c r="I4" s="13" t="s">
        <v>16</v>
      </c>
      <c r="J4" s="13" t="s">
        <v>17</v>
      </c>
      <c r="K4" s="13" t="s">
        <v>15</v>
      </c>
      <c r="L4" s="13" t="s">
        <v>16</v>
      </c>
      <c r="M4" s="13" t="s">
        <v>17</v>
      </c>
      <c r="N4" s="6"/>
    </row>
    <row r="5" spans="1:14" ht="15" x14ac:dyDescent="0.2">
      <c r="A5" s="5"/>
      <c r="B5" s="249"/>
      <c r="C5" s="14" t="s">
        <v>18</v>
      </c>
      <c r="D5" s="12" t="s">
        <v>19</v>
      </c>
      <c r="E5" s="12" t="s">
        <v>20</v>
      </c>
      <c r="F5" s="12" t="s">
        <v>21</v>
      </c>
      <c r="G5" s="12" t="s">
        <v>22</v>
      </c>
      <c r="H5" s="12" t="s">
        <v>20</v>
      </c>
      <c r="I5" s="12" t="s">
        <v>21</v>
      </c>
      <c r="J5" s="12" t="s">
        <v>22</v>
      </c>
      <c r="K5" s="12" t="s">
        <v>20</v>
      </c>
      <c r="L5" s="12" t="s">
        <v>21</v>
      </c>
      <c r="M5" s="12" t="s">
        <v>22</v>
      </c>
      <c r="N5" s="6"/>
    </row>
    <row r="6" spans="1:14" ht="15" x14ac:dyDescent="0.25">
      <c r="A6" s="5"/>
      <c r="B6" s="8" t="s">
        <v>23</v>
      </c>
      <c r="C6" s="9" t="s">
        <v>24</v>
      </c>
      <c r="D6" s="9">
        <v>46</v>
      </c>
      <c r="E6" s="9">
        <v>6</v>
      </c>
      <c r="F6" s="9">
        <v>146</v>
      </c>
      <c r="G6" s="9">
        <v>3336</v>
      </c>
      <c r="H6" s="9">
        <v>6</v>
      </c>
      <c r="I6" s="9">
        <v>120</v>
      </c>
      <c r="J6" s="9">
        <v>4828</v>
      </c>
      <c r="K6" s="9">
        <v>6</v>
      </c>
      <c r="L6" s="9">
        <v>172</v>
      </c>
      <c r="M6" s="9">
        <v>1836</v>
      </c>
      <c r="N6" s="6"/>
    </row>
    <row r="7" spans="1:14" ht="15" x14ac:dyDescent="0.25">
      <c r="A7" s="5"/>
      <c r="B7" s="10" t="s">
        <v>25</v>
      </c>
      <c r="C7" s="11" t="s">
        <v>24</v>
      </c>
      <c r="D7" s="11">
        <v>48</v>
      </c>
      <c r="E7" s="11">
        <v>9</v>
      </c>
      <c r="F7" s="11">
        <v>148</v>
      </c>
      <c r="G7" s="11">
        <v>4937</v>
      </c>
      <c r="H7" s="11">
        <v>9</v>
      </c>
      <c r="I7" s="11">
        <v>121</v>
      </c>
      <c r="J7" s="11">
        <v>7156</v>
      </c>
      <c r="K7" s="11">
        <v>9</v>
      </c>
      <c r="L7" s="11">
        <v>168</v>
      </c>
      <c r="M7" s="11">
        <v>2819</v>
      </c>
      <c r="N7" s="6"/>
    </row>
    <row r="8" spans="1:14" ht="15" x14ac:dyDescent="0.25">
      <c r="A8" s="5"/>
      <c r="B8" s="8" t="s">
        <v>26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6"/>
    </row>
    <row r="9" spans="1:14" ht="15" x14ac:dyDescent="0.25">
      <c r="A9" s="5"/>
      <c r="B9" s="10" t="s">
        <v>27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6"/>
    </row>
    <row r="10" spans="1:14" ht="1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4" ht="15" x14ac:dyDescent="0.2">
      <c r="B12" s="12" t="s">
        <v>7</v>
      </c>
      <c r="C12" s="249" t="s">
        <v>28</v>
      </c>
      <c r="D12" s="249"/>
      <c r="E12" s="249"/>
      <c r="F12" s="249"/>
      <c r="G12" s="249"/>
      <c r="H12" s="249"/>
      <c r="I12" s="249"/>
      <c r="J12" s="249"/>
      <c r="K12" s="249"/>
      <c r="L12" s="249"/>
      <c r="M12" s="249"/>
    </row>
    <row r="13" spans="1:14" ht="15" x14ac:dyDescent="0.2">
      <c r="B13" s="249" t="s">
        <v>9</v>
      </c>
      <c r="C13" s="250" t="s">
        <v>10</v>
      </c>
      <c r="D13" s="250" t="s">
        <v>11</v>
      </c>
      <c r="E13" s="248" t="s">
        <v>12</v>
      </c>
      <c r="F13" s="248"/>
      <c r="G13" s="248"/>
      <c r="H13" s="248" t="s">
        <v>13</v>
      </c>
      <c r="I13" s="248"/>
      <c r="J13" s="248"/>
      <c r="K13" s="248" t="s">
        <v>14</v>
      </c>
      <c r="L13" s="248"/>
      <c r="M13" s="248"/>
    </row>
    <row r="14" spans="1:14" ht="75" x14ac:dyDescent="0.2">
      <c r="B14" s="249"/>
      <c r="C14" s="250"/>
      <c r="D14" s="250"/>
      <c r="E14" s="13" t="s">
        <v>15</v>
      </c>
      <c r="F14" s="13" t="s">
        <v>16</v>
      </c>
      <c r="G14" s="13" t="s">
        <v>17</v>
      </c>
      <c r="H14" s="13" t="s">
        <v>15</v>
      </c>
      <c r="I14" s="13" t="s">
        <v>16</v>
      </c>
      <c r="J14" s="13" t="s">
        <v>17</v>
      </c>
      <c r="K14" s="13" t="s">
        <v>15</v>
      </c>
      <c r="L14" s="13" t="s">
        <v>16</v>
      </c>
      <c r="M14" s="13" t="s">
        <v>17</v>
      </c>
    </row>
    <row r="15" spans="1:14" ht="15" x14ac:dyDescent="0.2">
      <c r="B15" s="249"/>
      <c r="C15" s="14" t="s">
        <v>18</v>
      </c>
      <c r="D15" s="12" t="s">
        <v>19</v>
      </c>
      <c r="E15" s="12" t="s">
        <v>20</v>
      </c>
      <c r="F15" s="12" t="s">
        <v>21</v>
      </c>
      <c r="G15" s="12" t="s">
        <v>22</v>
      </c>
      <c r="H15" s="12" t="s">
        <v>20</v>
      </c>
      <c r="I15" s="12" t="s">
        <v>21</v>
      </c>
      <c r="J15" s="12" t="s">
        <v>22</v>
      </c>
      <c r="K15" s="12" t="s">
        <v>20</v>
      </c>
      <c r="L15" s="12" t="s">
        <v>21</v>
      </c>
      <c r="M15" s="12" t="s">
        <v>22</v>
      </c>
    </row>
    <row r="16" spans="1:14" ht="15" x14ac:dyDescent="0.25">
      <c r="B16" s="8" t="s">
        <v>23</v>
      </c>
      <c r="C16" s="9" t="s">
        <v>29</v>
      </c>
      <c r="D16" s="9">
        <v>46</v>
      </c>
      <c r="E16" s="9">
        <v>6</v>
      </c>
      <c r="F16" s="9">
        <v>197</v>
      </c>
      <c r="G16" s="9">
        <v>2482</v>
      </c>
      <c r="H16" s="9">
        <v>6</v>
      </c>
      <c r="I16" s="9">
        <v>153</v>
      </c>
      <c r="J16" s="9">
        <v>3790</v>
      </c>
      <c r="K16" s="9">
        <v>6</v>
      </c>
      <c r="L16" s="9">
        <v>242</v>
      </c>
      <c r="M16" s="9">
        <v>1308</v>
      </c>
    </row>
    <row r="17" spans="2:13" ht="15" x14ac:dyDescent="0.25">
      <c r="B17" s="10" t="s">
        <v>25</v>
      </c>
      <c r="C17" s="11" t="s">
        <v>29</v>
      </c>
      <c r="D17" s="11">
        <v>48</v>
      </c>
      <c r="E17" s="11">
        <v>9</v>
      </c>
      <c r="F17" s="11">
        <v>200</v>
      </c>
      <c r="G17" s="11">
        <v>3668</v>
      </c>
      <c r="H17" s="11">
        <v>9</v>
      </c>
      <c r="I17" s="11">
        <v>151</v>
      </c>
      <c r="J17" s="11">
        <v>5756</v>
      </c>
      <c r="K17" s="11">
        <v>9</v>
      </c>
      <c r="L17" s="11">
        <v>227</v>
      </c>
      <c r="M17" s="11">
        <v>2092</v>
      </c>
    </row>
    <row r="18" spans="2:13" ht="15" x14ac:dyDescent="0.25">
      <c r="B18" s="8" t="s">
        <v>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 ht="15" x14ac:dyDescent="0.25">
      <c r="B19" s="10" t="s">
        <v>27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mergeCells count="14">
    <mergeCell ref="C12:M12"/>
    <mergeCell ref="B13:B15"/>
    <mergeCell ref="C13:C14"/>
    <mergeCell ref="D13:D14"/>
    <mergeCell ref="E13:G13"/>
    <mergeCell ref="H13:J13"/>
    <mergeCell ref="K13:M13"/>
    <mergeCell ref="E3:G3"/>
    <mergeCell ref="H3:J3"/>
    <mergeCell ref="K3:M3"/>
    <mergeCell ref="C2:M2"/>
    <mergeCell ref="B3:B5"/>
    <mergeCell ref="C3:C4"/>
    <mergeCell ref="D3:D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EE48-F55F-4D0C-BADF-8DCB2603BF64}">
  <dimension ref="A1:J75"/>
  <sheetViews>
    <sheetView workbookViewId="0">
      <pane ySplit="2" topLeftCell="A3" activePane="bottomLeft" state="frozen"/>
      <selection pane="bottomLeft" activeCell="J14" sqref="J14"/>
    </sheetView>
  </sheetViews>
  <sheetFormatPr defaultColWidth="9.140625" defaultRowHeight="15" x14ac:dyDescent="0.25"/>
  <cols>
    <col min="1" max="1" width="3" style="1" customWidth="1"/>
    <col min="2" max="2" width="2.85546875" style="1" customWidth="1"/>
    <col min="3" max="3" width="26.42578125" style="1" customWidth="1"/>
    <col min="4" max="4" width="19.5703125" style="1" customWidth="1"/>
    <col min="5" max="5" width="13" style="2" bestFit="1" customWidth="1"/>
    <col min="6" max="6" width="11.85546875" style="2" customWidth="1"/>
    <col min="7" max="7" width="12.5703125" style="2" customWidth="1"/>
    <col min="8" max="8" width="10" style="1" customWidth="1"/>
    <col min="9" max="9" width="17.5703125" style="2" customWidth="1"/>
    <col min="10" max="10" width="11.85546875" style="1" bestFit="1" customWidth="1"/>
    <col min="11" max="16384" width="9.140625" style="1"/>
  </cols>
  <sheetData>
    <row r="1" spans="1:10" ht="15.75" thickBot="1" x14ac:dyDescent="0.3">
      <c r="D1" s="25"/>
      <c r="E1" s="128"/>
      <c r="F1" s="128"/>
      <c r="G1" s="128"/>
    </row>
    <row r="2" spans="1:10" ht="30" x14ac:dyDescent="0.25">
      <c r="C2" s="127" t="s">
        <v>30</v>
      </c>
      <c r="D2" s="129" t="s">
        <v>7</v>
      </c>
      <c r="E2" s="130" t="s">
        <v>31</v>
      </c>
      <c r="F2" s="125" t="s">
        <v>32</v>
      </c>
      <c r="G2" s="126" t="s">
        <v>33</v>
      </c>
      <c r="H2" s="126" t="s">
        <v>34</v>
      </c>
      <c r="I2" s="214" t="s">
        <v>35</v>
      </c>
      <c r="J2" s="214" t="s">
        <v>36</v>
      </c>
    </row>
    <row r="3" spans="1:10" ht="15" customHeight="1" x14ac:dyDescent="0.25">
      <c r="A3" s="31"/>
      <c r="B3" s="31"/>
      <c r="C3" s="258" t="s">
        <v>37</v>
      </c>
      <c r="D3" s="191" t="s">
        <v>23</v>
      </c>
      <c r="E3" s="196" cm="1">
        <f t="array" ref="E3">INDEX(_xlfn._xlws.FILTER(CapacityTable[], (CapacityTable[Model] = $D3) * (CapacityTable[T ext] = 35) * (CapacityTable[T water out] = 7) * (CapacityTable[Type] = "Best COP") * (CapacityTable[Results origin] = I3),Tableau2[]),1,5)</f>
        <v>2.2892809453701504</v>
      </c>
      <c r="F3" s="196" cm="1">
        <f t="array" ref="F3">INDEX(_xlfn._xlws.FILTER(CapacityTable[], (CapacityTable[Model] = $D3) * (CapacityTable[T ext] = 35) * (CapacityTable[T water out] = 7) * (CapacityTable[Type] = "Best COP") * (CapacityTable[Results origin] = I3),Tableau2[]),1,6)</f>
        <v>0.72522648762210495</v>
      </c>
      <c r="G3" s="196" cm="1">
        <f t="array" ref="G3">INDEX(_xlfn._xlws.FILTER(CapacityTable[], (CapacityTable[Model] = $D3) * (CapacityTable[T ext] = 35) * (CapacityTable[T water out] = 7) * (CapacityTable[Type] = "Best COP") * (CapacityTable[Results origin] = I3),Tableau2[]),1,7)</f>
        <v>3.15664276531917</v>
      </c>
      <c r="H3" s="184" cm="1">
        <f t="array" ref="H3">INDEX(_xlfn._xlws.FILTER(CapacityTable[], (CapacityTable[Model] = $D3) * (CapacityTable[T ext] = 35) * (CapacityTable[T water out] = 7) * (CapacityTable[Type] = "Best COP") * (CapacityTable[Results origin] = I3),Tableau2[]),1,8)*1000/60</f>
        <v>0</v>
      </c>
      <c r="I3" s="215" t="s">
        <v>38</v>
      </c>
      <c r="J3" s="2" t="str" cm="1">
        <f t="array" ref="J3">INDEX(_xlfn._xlws.FILTER(CapacityTable[], (CapacityTable[Model] = $D3) * (CapacityTable[T ext] = 35) * (CapacityTable[T water out] = 7) * (CapacityTable[Type] = "Best COP") * (CapacityTable[Results origin] = I3),Tableau2[]),1,11)</f>
        <v>SREQ23-0096</v>
      </c>
    </row>
    <row r="4" spans="1:10" x14ac:dyDescent="0.25">
      <c r="A4" s="31"/>
      <c r="B4" s="31"/>
      <c r="C4" s="253"/>
      <c r="D4" s="192" t="s">
        <v>25</v>
      </c>
      <c r="E4" s="190" cm="1">
        <f t="array" ref="E4">INDEX(_xlfn._xlws.FILTER(CapacityTable[], (CapacityTable[Model] = $D4) * (CapacityTable[T ext] = 35) * (CapacityTable[T water out] = 7) * (CapacityTable[Type] = "Best COP") * (CapacityTable[Results origin] = I4),Tableau2[]),1,5)</f>
        <v>2.4240047140000001</v>
      </c>
      <c r="F4" s="190" cm="1">
        <f t="array" ref="F4">INDEX(_xlfn._xlws.FILTER(CapacityTable[], (CapacityTable[Model] = $D4) * (CapacityTable[T ext] = 35) * (CapacityTable[T water out] = 7) * (CapacityTable[Type] = "Best COP") * (CapacityTable[Results origin] = I4),Tableau2[]),1,6)</f>
        <v>0.72535384337478326</v>
      </c>
      <c r="G4" s="190" cm="1">
        <f t="array" ref="G4">INDEX(_xlfn._xlws.FILTER(CapacityTable[], (CapacityTable[Model] = $D4) * (CapacityTable[T ext] = 35) * (CapacityTable[T water out] = 7) * (CapacityTable[Type] = "Best COP") * (CapacityTable[Results origin] = I4),Tableau2[]),1,7)</f>
        <v>3.3418237679999998</v>
      </c>
      <c r="H4" s="197" cm="1">
        <f t="array" ref="H4">INDEX(_xlfn._xlws.FILTER(CapacityTable[], (CapacityTable[Model] = $D4) * (CapacityTable[T ext] = 35) * (CapacityTable[T water out] = 7) * (CapacityTable[Type] = "Best COP") * (CapacityTable[Results origin] = I4),Tableau2[]),1,8)*1000/60</f>
        <v>0</v>
      </c>
      <c r="I4" s="215" t="s">
        <v>38</v>
      </c>
      <c r="J4" s="2" t="str" cm="1">
        <f t="array" ref="J4">INDEX(_xlfn._xlws.FILTER(CapacityTable[], (CapacityTable[Model] = $D4) * (CapacityTable[T ext] = 35) * (CapacityTable[T water out] = 7) * (CapacityTable[Type] = "Best COP") * (CapacityTable[Results origin] = I4),Tableau2[]),1,11)</f>
        <v>SREQ23-0096</v>
      </c>
    </row>
    <row r="5" spans="1:10" x14ac:dyDescent="0.25">
      <c r="A5" s="31"/>
      <c r="B5" s="31"/>
      <c r="C5" s="253"/>
      <c r="D5" s="193" t="s">
        <v>26</v>
      </c>
      <c r="E5" s="189" t="str" cm="1">
        <f t="array" ref="E5">INDEX(_xlfn._xlws.FILTER(CapacityTable[], (CapacityTable[Model] = $D5) * (CapacityTable[T ext] = 35) * (CapacityTable[T water out] = 7) * (CapacityTable[Type] = "Best COP") * (CapacityTable[Results origin] = I5),Tableau2[]),1,5)</f>
        <v>No value</v>
      </c>
      <c r="F5" s="189" t="str" cm="1">
        <f t="array" ref="F5">INDEX(_xlfn._xlws.FILTER(CapacityTable[], (CapacityTable[Model] = $D5) * (CapacityTable[T ext] = 35) * (CapacityTable[T water out] = 7) * (CapacityTable[Type] = "Best COP") * (CapacityTable[Results origin] = I5),Tableau2[]),1,6)</f>
        <v>No value</v>
      </c>
      <c r="G5" s="189" t="str" cm="1">
        <f t="array" ref="G5">INDEX(_xlfn._xlws.FILTER(CapacityTable[], (CapacityTable[Model] = $D5) * (CapacityTable[T ext] = 35) * (CapacityTable[T water out] = 7) * (CapacityTable[Type] = "Best COP") * (CapacityTable[Results origin] = I5),Tableau2[]),1,7)</f>
        <v>No value</v>
      </c>
      <c r="H5" s="78" t="str" cm="1">
        <f t="array" ref="H5">INDEX(_xlfn._xlws.FILTER(CapacityTable[], (CapacityTable[Model] = $D5) * (CapacityTable[T ext] = 35) * (CapacityTable[T water out] = 7) * (CapacityTable[Type] = "Best COP") * (CapacityTable[Results origin] = I5),Tableau2[]),1,8)</f>
        <v>No value</v>
      </c>
      <c r="I5" s="215" t="s">
        <v>38</v>
      </c>
      <c r="J5" s="2" t="str" cm="1">
        <f t="array" ref="J5">INDEX(_xlfn._xlws.FILTER(CapacityTable[], (CapacityTable[Model] = $D5) * (CapacityTable[T ext] = 35) * (CapacityTable[T water out] = 7) * (CapacityTable[Type] = "Best COP") * (CapacityTable[Results origin] = I5),Tableau2[]),1,11)</f>
        <v>No value</v>
      </c>
    </row>
    <row r="6" spans="1:10" ht="15.75" thickBot="1" x14ac:dyDescent="0.3">
      <c r="A6" s="31"/>
      <c r="B6" s="31"/>
      <c r="C6" s="253"/>
      <c r="D6" s="194" t="s">
        <v>27</v>
      </c>
      <c r="E6" s="201" t="str" cm="1">
        <f t="array" ref="E6">INDEX(_xlfn._xlws.FILTER(CapacityTable[], (CapacityTable[Model] = $D6) * (CapacityTable[T ext] = 35) * (CapacityTable[T water out] = 7) * (CapacityTable[Type] = "Best COP") * (CapacityTable[Results origin] = I6),Tableau2[]),1,5)</f>
        <v>No value</v>
      </c>
      <c r="F6" s="201" t="str" cm="1">
        <f t="array" ref="F6">INDEX(_xlfn._xlws.FILTER(CapacityTable[], (CapacityTable[Model] = $D6) * (CapacityTable[T ext] = 35) * (CapacityTable[T water out] = 7) * (CapacityTable[Type] = "Best COP") * (CapacityTable[Results origin] = I6),Tableau2[]),1,6)</f>
        <v>No value</v>
      </c>
      <c r="G6" s="201" t="str" cm="1">
        <f t="array" ref="G6">INDEX(_xlfn._xlws.FILTER(CapacityTable[], (CapacityTable[Model] = $D6) * (CapacityTable[T ext] = 35) * (CapacityTable[T water out] = 7) * (CapacityTable[Type] = "Best COP") * (CapacityTable[Results origin] = I6),Tableau2[]),1,7)</f>
        <v>No value</v>
      </c>
      <c r="H6" s="203" t="str" cm="1">
        <f t="array" ref="H6">INDEX(_xlfn._xlws.FILTER(CapacityTable[], (CapacityTable[Model] = $D6) * (CapacityTable[T ext] = 35) * (CapacityTable[T water out] = 7) * (CapacityTable[Type] = "Best COP") * (CapacityTable[Results origin] = I6),Tableau2[]),1,8)</f>
        <v>No value</v>
      </c>
      <c r="I6" s="215" t="s">
        <v>38</v>
      </c>
      <c r="J6" s="2" t="str" cm="1">
        <f t="array" ref="J6">INDEX(_xlfn._xlws.FILTER(CapacityTable[], (CapacityTable[Model] = $D6) * (CapacityTable[T ext] = 35) * (CapacityTable[T water out] = 7) * (CapacityTable[Type] = "Best COP") * (CapacityTable[Results origin] = I6),Tableau2[]),1,11)</f>
        <v>No value</v>
      </c>
    </row>
    <row r="7" spans="1:10" ht="15" customHeight="1" x14ac:dyDescent="0.25">
      <c r="A7" s="31"/>
      <c r="B7" s="31"/>
      <c r="C7" s="255" t="s">
        <v>39</v>
      </c>
      <c r="D7" s="191" t="s">
        <v>23</v>
      </c>
      <c r="E7" s="196" cm="1">
        <f t="array" ref="E7">INDEX(_xlfn._xlws.FILTER(CapacityTable[], (CapacityTable[Model] = $D7) * (CapacityTable[T ext] = 35) * (CapacityTable[T water out] = 18) * (CapacityTable[Type] = "Best COP"),Tableau2[]),1,5)</f>
        <v>2.9829066435091001</v>
      </c>
      <c r="F7" s="196" cm="1">
        <f t="array" ref="F7">INDEX(_xlfn._xlws.FILTER(CapacityTable[], (CapacityTable[Model] = $D7) * (CapacityTable[T ext] = 35) * (CapacityTable[T water out] = 18) * (CapacityTable[Type] = "Best COP"),Tableau2[]),1,6)</f>
        <v>0.65299782013235796</v>
      </c>
      <c r="G7" s="196" cm="1">
        <f t="array" ref="G7">INDEX(_xlfn._xlws.FILTER(CapacityTable[], (CapacityTable[Model] = $D7) * (CapacityTable[T ext] = 35) * (CapacityTable[T water out] = 18) * (CapacityTable[Type] = "Best COP"),Tableau2[]),1,7)</f>
        <v>4.5680192973760398</v>
      </c>
      <c r="H7" s="184" cm="1">
        <f t="array" ref="H7">INDEX(_xlfn._xlws.FILTER(CapacityTable[], (CapacityTable[Model] = $D7) * (CapacityTable[T ext] = 35) * (CapacityTable[T water out] = 18) * (CapacityTable[Type] = "Best COP"),Tableau2[]),1,8)*1000/60</f>
        <v>0</v>
      </c>
      <c r="I7" s="215" t="s">
        <v>38</v>
      </c>
      <c r="J7" s="2" t="str" cm="1">
        <f t="array" ref="J7">INDEX(_xlfn._xlws.FILTER(CapacityTable[], (CapacityTable[Model] = $D7) * (CapacityTable[T ext] = 35) * (CapacityTable[T water out] = 7) * (CapacityTable[Type] = "Best COP") * (CapacityTable[Results origin] = I7),Tableau2[]),1,11)</f>
        <v>SREQ23-0096</v>
      </c>
    </row>
    <row r="8" spans="1:10" x14ac:dyDescent="0.25">
      <c r="A8" s="31"/>
      <c r="B8" s="31"/>
      <c r="C8" s="256"/>
      <c r="D8" s="192" t="s">
        <v>25</v>
      </c>
      <c r="E8" s="190" cm="1">
        <f t="array" ref="E8">INDEX(_xlfn._xlws.FILTER(CapacityTable[], (CapacityTable[Model] = $D8) * (CapacityTable[T ext] = 35) * (CapacityTable[T water out] = 18) * (CapacityTable[Type] = "Best COP"),Tableau2[]),1,5)</f>
        <v>2.5897274280000002</v>
      </c>
      <c r="F8" s="190" cm="1">
        <f t="array" ref="F8">INDEX(_xlfn._xlws.FILTER(CapacityTable[], (CapacityTable[Model] = $D8) * (CapacityTable[T ext] = 35) * (CapacityTable[T water out] = 18) * (CapacityTable[Type] = "Best COP"),Tableau2[]),1,6)</f>
        <v>0.61676226979168181</v>
      </c>
      <c r="G8" s="190" cm="1">
        <f t="array" ref="G8">INDEX(_xlfn._xlws.FILTER(CapacityTable[], (CapacityTable[Model] = $D8) * (CapacityTable[T ext] = 35) * (CapacityTable[T water out] = 18) * (CapacityTable[Type] = "Best COP"),Tableau2[]),1,7)</f>
        <v>4.1989070259999997</v>
      </c>
      <c r="H8" s="197" cm="1">
        <f t="array" ref="H8">INDEX(_xlfn._xlws.FILTER(CapacityTable[], (CapacityTable[Model] = $D8) * (CapacityTable[T ext] = 35) * (CapacityTable[T water out] = 18) * (CapacityTable[Type] = "Best COP"),Tableau2[]),1,8)*1000/60</f>
        <v>0</v>
      </c>
      <c r="I8" s="215" t="s">
        <v>38</v>
      </c>
      <c r="J8" s="2" t="str" cm="1">
        <f t="array" ref="J8">INDEX(_xlfn._xlws.FILTER(CapacityTable[], (CapacityTable[Model] = $D8) * (CapacityTable[T ext] = 35) * (CapacityTable[T water out] = 7) * (CapacityTable[Type] = "Best COP") * (CapacityTable[Results origin] = I8),Tableau2[]),1,11)</f>
        <v>SREQ23-0096</v>
      </c>
    </row>
    <row r="9" spans="1:10" x14ac:dyDescent="0.25">
      <c r="A9" s="31"/>
      <c r="B9" s="31"/>
      <c r="C9" s="256"/>
      <c r="D9" s="193" t="s">
        <v>26</v>
      </c>
      <c r="E9" s="189" t="str" cm="1">
        <f t="array" ref="E9">INDEX(_xlfn._xlws.FILTER(CapacityTable[], (CapacityTable[Model] = $D9) * (CapacityTable[T ext] = 35) * (CapacityTable[T water out] = 18) * (CapacityTable[Type] = "Best COP"),Tableau2[]),1,5)</f>
        <v>No value</v>
      </c>
      <c r="F9" s="189" t="str" cm="1">
        <f t="array" ref="F9">INDEX(_xlfn._xlws.FILTER(CapacityTable[], (CapacityTable[Model] = $D9) * (CapacityTable[T ext] = 35) * (CapacityTable[T water out] = 18) * (CapacityTable[Type] = "Best COP"),Tableau2[]),1,6)</f>
        <v>No value</v>
      </c>
      <c r="G9" s="189" t="str" cm="1">
        <f t="array" ref="G9">INDEX(_xlfn._xlws.FILTER(CapacityTable[], (CapacityTable[Model] = $D9) * (CapacityTable[T ext] = 35) * (CapacityTable[T water out] = 18) * (CapacityTable[Type] = "Best COP"),Tableau2[]),1,7)</f>
        <v>No value</v>
      </c>
      <c r="H9" s="78" t="str" cm="1">
        <f t="array" ref="H9">INDEX(_xlfn._xlws.FILTER(CapacityTable[], (CapacityTable[Model] = $D9) * (CapacityTable[T ext] = 35) * (CapacityTable[T water out] = 18) * (CapacityTable[Type] = "Best COP"),Tableau2[]),1,8)</f>
        <v>No value</v>
      </c>
      <c r="I9" s="215" t="s">
        <v>38</v>
      </c>
      <c r="J9" s="2" t="str" cm="1">
        <f t="array" ref="J9">INDEX(_xlfn._xlws.FILTER(CapacityTable[], (CapacityTable[Model] = $D9) * (CapacityTable[T ext] = 35) * (CapacityTable[T water out] = 7) * (CapacityTable[Type] = "Best COP") * (CapacityTable[Results origin] = I9),Tableau2[]),1,11)</f>
        <v>No value</v>
      </c>
    </row>
    <row r="10" spans="1:10" ht="15.75" thickBot="1" x14ac:dyDescent="0.3">
      <c r="A10" s="31"/>
      <c r="B10" s="31"/>
      <c r="C10" s="257"/>
      <c r="D10" s="194" t="s">
        <v>27</v>
      </c>
      <c r="E10" s="201" t="str" cm="1">
        <f t="array" ref="E10">INDEX(_xlfn._xlws.FILTER(CapacityTable[], (CapacityTable[Model] = $D10) * (CapacityTable[T ext] = 35) * (CapacityTable[T water out] = 18) * (CapacityTable[Type] = "Best COP"),Tableau2[]),1,5)</f>
        <v>No value</v>
      </c>
      <c r="F10" s="201" t="str" cm="1">
        <f t="array" ref="F10">INDEX(_xlfn._xlws.FILTER(CapacityTable[], (CapacityTable[Model] = $D10) * (CapacityTable[T ext] = 35) * (CapacityTable[T water out] = 18) * (CapacityTable[Type] = "Best COP"),Tableau2[]),1,6)</f>
        <v>No value</v>
      </c>
      <c r="G10" s="201" t="str" cm="1">
        <f t="array" ref="G10">INDEX(_xlfn._xlws.FILTER(CapacityTable[], (CapacityTable[Model] = $D10) * (CapacityTable[T ext] = 35) * (CapacityTable[T water out] = 18) * (CapacityTable[Type] = "Best COP"),Tableau2[]),1,7)</f>
        <v>No value</v>
      </c>
      <c r="H10" s="203" t="str" cm="1">
        <f t="array" ref="H10">INDEX(_xlfn._xlws.FILTER(CapacityTable[], (CapacityTable[Model] = $D10) * (CapacityTable[T ext] = 35) * (CapacityTable[T water out] = 18) * (CapacityTable[Type] = "Best COP"),Tableau2[]),1,8)</f>
        <v>No value</v>
      </c>
      <c r="I10" s="215" t="s">
        <v>38</v>
      </c>
      <c r="J10" s="2" t="str" cm="1">
        <f t="array" ref="J10">INDEX(_xlfn._xlws.FILTER(CapacityTable[], (CapacityTable[Model] = $D10) * (CapacityTable[T ext] = 35) * (CapacityTable[T water out] = 7) * (CapacityTable[Type] = "Best COP") * (CapacityTable[Results origin] = I10),Tableau2[]),1,11)</f>
        <v>No value</v>
      </c>
    </row>
    <row r="11" spans="1:10" x14ac:dyDescent="0.25">
      <c r="A11" s="31"/>
      <c r="B11" s="31"/>
      <c r="C11" s="253" t="s">
        <v>40</v>
      </c>
      <c r="D11" s="204" t="s">
        <v>23</v>
      </c>
      <c r="E11" s="205" cm="1">
        <f t="array" ref="E11">INDEX(_xlfn._xlws.FILTER(CapacityTable[], (CapacityTable[Model] = $D11) * (CapacityTable[T ext] = 7) * (CapacityTable[T water out] = 35) * (CapacityTable[Results origin] = I11),Tableau2[]),1,5)</f>
        <v>3.41</v>
      </c>
      <c r="F11" s="205" cm="1">
        <f t="array" ref="F11">INDEX(_xlfn._xlws.FILTER(CapacityTable[], (CapacityTable[Model] = $D11) * (CapacityTable[T ext] = 7) * (CapacityTable[T water out] = 35) * (CapacityTable[Results origin] = I11),Tableau2[]),1,6)</f>
        <v>0.67</v>
      </c>
      <c r="G11" s="205" cm="1">
        <f t="array" ref="G11">INDEX(_xlfn._xlws.FILTER(CapacityTable[], (CapacityTable[Model] = $D11) * (CapacityTable[T ext] = 7) * (CapacityTable[T water out] = 35) * (CapacityTable[Results origin] = I11),Tableau2[]),1,7)</f>
        <v>5.0599999999999996</v>
      </c>
      <c r="H11" s="85" cm="1">
        <f t="array" ref="H11">INDEX(_xlfn._xlws.FILTER(CapacityTable[], (CapacityTable[Model] = $D11) * (CapacityTable[T ext] = 7) * (CapacityTable[T water out] = 35) * (CapacityTable[Results origin] = I11),Tableau2[]),1,8)*1000/60</f>
        <v>10</v>
      </c>
      <c r="I11" s="215" t="s">
        <v>41</v>
      </c>
    </row>
    <row r="12" spans="1:10" x14ac:dyDescent="0.25">
      <c r="A12" s="31"/>
      <c r="B12" s="31"/>
      <c r="C12" s="253"/>
      <c r="D12" s="206" t="s">
        <v>25</v>
      </c>
      <c r="E12" s="190" cm="1">
        <f t="array" ref="E12">INDEX(_xlfn._xlws.FILTER(CapacityTable[], (CapacityTable[Model] = $D12) * (CapacityTable[T ext] = 7) * (CapacityTable[T water out] = 35) * (CapacityTable[Results origin] = I12),Tableau2[]),1,5)</f>
        <v>4.5199999999999996</v>
      </c>
      <c r="F12" s="190" cm="1">
        <f t="array" ref="F12">INDEX(_xlfn._xlws.FILTER(CapacityTable[], (CapacityTable[Model] = $D12) * (CapacityTable[T ext] = 7) * (CapacityTable[T water out] = 35) * (CapacityTable[Results origin] = I12),Tableau2[]),1,6)</f>
        <v>0.89</v>
      </c>
      <c r="G12" s="190" cm="1">
        <f t="array" ref="G12">INDEX(_xlfn._xlws.FILTER(CapacityTable[], (CapacityTable[Model] = $D12) * (CapacityTable[T ext] = 7) * (CapacityTable[T water out] = 35) * (CapacityTable[Results origin] = I12),Tableau2[]),1,7)</f>
        <v>5.08</v>
      </c>
      <c r="H12" s="207" cm="1">
        <f t="array" ref="H12">INDEX(_xlfn._xlws.FILTER(CapacityTable[], (CapacityTable[Model] = $D12) * (CapacityTable[T ext] = 7) * (CapacityTable[T water out] = 35) * (CapacityTable[Results origin] = I12),Tableau2[]),1,8)*1000/60</f>
        <v>13.116666666666667</v>
      </c>
      <c r="I12" s="215" t="s">
        <v>41</v>
      </c>
    </row>
    <row r="13" spans="1:10" x14ac:dyDescent="0.25">
      <c r="A13" s="31"/>
      <c r="B13" s="31"/>
      <c r="C13" s="253"/>
      <c r="D13" s="208" t="s">
        <v>26</v>
      </c>
      <c r="E13" s="189"/>
      <c r="F13" s="189"/>
      <c r="G13" s="189"/>
      <c r="H13" s="87"/>
      <c r="I13" s="215" t="s">
        <v>41</v>
      </c>
    </row>
    <row r="14" spans="1:10" ht="15.75" thickBot="1" x14ac:dyDescent="0.3">
      <c r="A14" s="31"/>
      <c r="B14" s="31"/>
      <c r="C14" s="253"/>
      <c r="D14" s="209" t="s">
        <v>27</v>
      </c>
      <c r="E14" s="210"/>
      <c r="F14" s="210"/>
      <c r="G14" s="210"/>
      <c r="H14" s="211"/>
      <c r="I14" s="215" t="s">
        <v>41</v>
      </c>
    </row>
    <row r="15" spans="1:10" x14ac:dyDescent="0.25">
      <c r="A15" s="31"/>
      <c r="B15" s="31"/>
      <c r="C15" s="255" t="s">
        <v>42</v>
      </c>
      <c r="D15" s="195" t="s">
        <v>23</v>
      </c>
      <c r="E15" s="202">
        <v>2.98</v>
      </c>
      <c r="F15" s="202">
        <f>E15/G15</f>
        <v>0.69953051643192488</v>
      </c>
      <c r="G15" s="202">
        <v>4.26</v>
      </c>
      <c r="H15" s="99"/>
      <c r="I15" s="215" t="s">
        <v>43</v>
      </c>
    </row>
    <row r="16" spans="1:10" x14ac:dyDescent="0.25">
      <c r="A16" s="31"/>
      <c r="B16" s="31"/>
      <c r="C16" s="256"/>
      <c r="D16" s="192" t="s">
        <v>25</v>
      </c>
      <c r="E16" s="190">
        <v>4.5143000000000004</v>
      </c>
      <c r="F16" s="190">
        <f>E16/G16</f>
        <v>1.0481309496169027</v>
      </c>
      <c r="G16" s="190">
        <v>4.3070000000000004</v>
      </c>
      <c r="H16" s="197"/>
      <c r="I16" s="215" t="s">
        <v>43</v>
      </c>
    </row>
    <row r="17" spans="1:9" x14ac:dyDescent="0.25">
      <c r="A17" s="31"/>
      <c r="B17" s="31"/>
      <c r="C17" s="256"/>
      <c r="D17" s="193" t="s">
        <v>26</v>
      </c>
      <c r="E17" s="189"/>
      <c r="F17" s="189"/>
      <c r="G17" s="189"/>
      <c r="H17" s="78"/>
      <c r="I17" s="215" t="s">
        <v>43</v>
      </c>
    </row>
    <row r="18" spans="1:9" ht="15.75" thickBot="1" x14ac:dyDescent="0.3">
      <c r="A18" s="31"/>
      <c r="B18" s="31"/>
      <c r="C18" s="257"/>
      <c r="D18" s="198" t="s">
        <v>27</v>
      </c>
      <c r="E18" s="199"/>
      <c r="F18" s="199"/>
      <c r="G18" s="199"/>
      <c r="H18" s="200"/>
      <c r="I18" s="215" t="s">
        <v>43</v>
      </c>
    </row>
    <row r="19" spans="1:9" x14ac:dyDescent="0.25">
      <c r="A19" s="31"/>
      <c r="B19" s="31"/>
      <c r="C19" s="259" t="s">
        <v>44</v>
      </c>
      <c r="D19" s="195" t="s">
        <v>23</v>
      </c>
      <c r="E19" s="202">
        <v>2.5299999999999998</v>
      </c>
      <c r="F19" s="202">
        <f>E19/G19</f>
        <v>0.79559748427672949</v>
      </c>
      <c r="G19" s="202">
        <v>3.18</v>
      </c>
      <c r="H19" s="99"/>
      <c r="I19" s="215" t="s">
        <v>43</v>
      </c>
    </row>
    <row r="20" spans="1:9" x14ac:dyDescent="0.25">
      <c r="A20" s="31"/>
      <c r="B20" s="31"/>
      <c r="C20" s="260"/>
      <c r="D20" s="192" t="s">
        <v>25</v>
      </c>
      <c r="E20" s="190">
        <v>3.7282000000000002</v>
      </c>
      <c r="F20" s="190">
        <f>E20/G20</f>
        <v>1.0910740415569213</v>
      </c>
      <c r="G20" s="190">
        <v>3.4169999999999998</v>
      </c>
      <c r="H20" s="197"/>
      <c r="I20" s="215" t="s">
        <v>43</v>
      </c>
    </row>
    <row r="21" spans="1:9" x14ac:dyDescent="0.25">
      <c r="A21" s="31"/>
      <c r="B21" s="31"/>
      <c r="C21" s="260"/>
      <c r="D21" s="193" t="s">
        <v>26</v>
      </c>
      <c r="E21" s="189"/>
      <c r="F21" s="189"/>
      <c r="G21" s="189"/>
      <c r="H21" s="78"/>
      <c r="I21" s="215" t="s">
        <v>43</v>
      </c>
    </row>
    <row r="22" spans="1:9" ht="15.75" thickBot="1" x14ac:dyDescent="0.3">
      <c r="A22" s="31"/>
      <c r="B22" s="31"/>
      <c r="C22" s="261"/>
      <c r="D22" s="194" t="s">
        <v>27</v>
      </c>
      <c r="E22" s="201"/>
      <c r="F22" s="201"/>
      <c r="G22" s="201"/>
      <c r="H22" s="203"/>
      <c r="I22" s="215" t="s">
        <v>43</v>
      </c>
    </row>
    <row r="23" spans="1:9" ht="15" customHeight="1" x14ac:dyDescent="0.25">
      <c r="A23" s="31"/>
      <c r="B23" s="31"/>
      <c r="C23" s="255" t="s">
        <v>45</v>
      </c>
      <c r="D23" s="204" t="s">
        <v>23</v>
      </c>
      <c r="E23" s="205" cm="1">
        <f t="array" ref="E23">INDEX(_xlfn._xlws.FILTER(CapacityTable[], (CapacityTable[Model] = $D23) * (CapacityTable[T ext] = -10) * (CapacityTable[T water out] = 35) * (CapacityTable[Type] = "Best COP"),Tableau2[]),1,5)</f>
        <v>2.9162568159699398</v>
      </c>
      <c r="F23" s="205" cm="1">
        <f t="array" ref="F23">INDEX(_xlfn._xlws.FILTER(CapacityTable[], (CapacityTable[Model] = $D23) * (CapacityTable[T ext] = -10) * (CapacityTable[T water out] = 35) * (CapacityTable[Type] = "Best COP"),Tableau2[]),1,6)</f>
        <v>1.0903660205583063</v>
      </c>
      <c r="G23" s="205" cm="1">
        <f t="array" ref="G23">INDEX(_xlfn._xlws.FILTER(CapacityTable[], (CapacityTable[Model] = $D23) * (CapacityTable[T ext] = -10) * (CapacityTable[T water out] = 35) * (CapacityTable[Type] = "Best COP"),Tableau2[]),1,7)</f>
        <v>2.6745668527681299</v>
      </c>
      <c r="H23" s="85"/>
      <c r="I23" s="215" t="s">
        <v>46</v>
      </c>
    </row>
    <row r="24" spans="1:9" x14ac:dyDescent="0.25">
      <c r="A24" s="31"/>
      <c r="B24" s="31"/>
      <c r="C24" s="256"/>
      <c r="D24" s="206" t="s">
        <v>25</v>
      </c>
      <c r="E24" s="190" cm="1">
        <f t="array" ref="E24">INDEX(_xlfn._xlws.FILTER(CapacityTable[], (CapacityTable[Model] = $D24) * (CapacityTable[T ext] = -10) * (CapacityTable[T water out] = 35) * (CapacityTable[Type] = "Best COP"),Tableau2[]),1,5)</f>
        <v>4.8548667291329206</v>
      </c>
      <c r="F24" s="190" cm="1">
        <f t="array" ref="F24">INDEX(_xlfn._xlws.FILTER(CapacityTable[], (CapacityTable[Model] = $D24) * (CapacityTable[T ext] = -10) * (CapacityTable[T water out] = 35) * (CapacityTable[Type] = "Best COP"),Tableau2[]),1,6)</f>
        <v>1.6325691516903853</v>
      </c>
      <c r="G24" s="190" cm="1">
        <f t="array" ref="G24">INDEX(_xlfn._xlws.FILTER(CapacityTable[], (CapacityTable[Model] = $D24) * (CapacityTable[T ext] = -10) * (CapacityTable[T water out] = 35) * (CapacityTable[Type] = "Best COP"),Tableau2[]),1,7)</f>
        <v>2.9737587067023301</v>
      </c>
      <c r="H24" s="207"/>
      <c r="I24" s="215" t="s">
        <v>46</v>
      </c>
    </row>
    <row r="25" spans="1:9" x14ac:dyDescent="0.25">
      <c r="A25" s="31"/>
      <c r="B25" s="31"/>
      <c r="C25" s="256"/>
      <c r="D25" s="208" t="s">
        <v>26</v>
      </c>
      <c r="E25" s="189" t="str" cm="1">
        <f t="array" ref="E25">INDEX(_xlfn._xlws.FILTER(CapacityTable[], (CapacityTable[Model] = $D25) * (CapacityTable[T ext] = -10) * (CapacityTable[T water out] = 35) * (CapacityTable[Type] = "Max power"),Tableau2[]),1,5)</f>
        <v>No value</v>
      </c>
      <c r="F25" s="189" t="str" cm="1">
        <f t="array" ref="F25">INDEX(_xlfn._xlws.FILTER(CapacityTable[], (CapacityTable[Model] = $D25) * (CapacityTable[T ext] = -10) * (CapacityTable[T water out] = 35) * (CapacityTable[Type] = "Max power"),Tableau2[]),1,6)</f>
        <v>No value</v>
      </c>
      <c r="G25" s="189" t="str" cm="1">
        <f t="array" ref="G25">INDEX(_xlfn._xlws.FILTER(CapacityTable[], (CapacityTable[Model] = $D25) * (CapacityTable[T ext] = -10) * (CapacityTable[T water out] = 35) * (CapacityTable[Type] = "Max power"),Tableau2[]),1,7)</f>
        <v>No value</v>
      </c>
      <c r="H25" s="87"/>
      <c r="I25" s="215"/>
    </row>
    <row r="26" spans="1:9" ht="15.75" thickBot="1" x14ac:dyDescent="0.3">
      <c r="A26" s="31"/>
      <c r="B26" s="31"/>
      <c r="C26" s="257"/>
      <c r="D26" s="209" t="s">
        <v>27</v>
      </c>
      <c r="E26" s="210" t="str" cm="1">
        <f t="array" ref="E26">INDEX(_xlfn._xlws.FILTER(CapacityTable[], (CapacityTable[Model] = $D26) * (CapacityTable[T ext] = -10) * (CapacityTable[T water out] = 35) * (CapacityTable[Type] = "Max power"),Tableau2[]),1,5)</f>
        <v>No value</v>
      </c>
      <c r="F26" s="210" t="str" cm="1">
        <f t="array" ref="F26">INDEX(_xlfn._xlws.FILTER(CapacityTable[], (CapacityTable[Model] = $D26) * (CapacityTable[T ext] = -10) * (CapacityTable[T water out] = 35) * (CapacityTable[Type] = "Max power"),Tableau2[]),1,6)</f>
        <v>No value</v>
      </c>
      <c r="G26" s="210" t="str" cm="1">
        <f t="array" ref="G26">INDEX(_xlfn._xlws.FILTER(CapacityTable[], (CapacityTable[Model] = $D26) * (CapacityTable[T ext] = -10) * (CapacityTable[T water out] = 35) * (CapacityTable[Type] = "Max power"),Tableau2[]),1,7)</f>
        <v>No value</v>
      </c>
      <c r="H26" s="211"/>
      <c r="I26" s="215"/>
    </row>
    <row r="27" spans="1:9" ht="15" customHeight="1" x14ac:dyDescent="0.25">
      <c r="A27" s="31"/>
      <c r="B27" s="31"/>
      <c r="C27" s="259" t="s">
        <v>47</v>
      </c>
      <c r="D27" s="195" t="s">
        <v>23</v>
      </c>
      <c r="E27" s="202" cm="1">
        <f t="array" ref="E27">INDEX(_xlfn._xlws.FILTER(CapacityTable[], (CapacityTable[Model] = $D27) * (CapacityTable[T ext] = 7) * (CapacityTable[T water out] = 45) * (CapacityTable[Type] = "Best COP"),Tableau2[]),1,5)</f>
        <v>3.8746549713082299</v>
      </c>
      <c r="F27" s="202" cm="1">
        <f t="array" ref="F27">INDEX(_xlfn._xlws.FILTER(CapacityTable[], (CapacityTable[Model] = $D27) * (CapacityTable[T ext] = 7) * (CapacityTable[T water out] = 45) * (CapacityTable[Type] = "Best COP"),Tableau2[]),1,6)</f>
        <v>1.0907444874690571</v>
      </c>
      <c r="G27" s="202" cm="1">
        <f t="array" ref="G27">INDEX(_xlfn._xlws.FILTER(CapacityTable[], (CapacityTable[Model] = $D27) * (CapacityTable[T ext] = 7) * (CapacityTable[T water out] = 45) * (CapacityTable[Type] = "Best COP"),Tableau2[]),1,7)</f>
        <v>3.5523030515596798</v>
      </c>
      <c r="H27" s="99" cm="1">
        <f t="array" ref="H27">INDEX(_xlfn._xlws.FILTER(CapacityTable[], (CapacityTable[Model] = $D27) * (CapacityTable[T ext] = 7) * (CapacityTable[T water out] = 45) * (CapacityTable[Type] = "Best COP"),Tableau2[]),1,8)*1000/60</f>
        <v>11.27476738717044</v>
      </c>
      <c r="I27" s="215" t="s">
        <v>48</v>
      </c>
    </row>
    <row r="28" spans="1:9" x14ac:dyDescent="0.25">
      <c r="A28" s="31"/>
      <c r="B28" s="31"/>
      <c r="C28" s="260"/>
      <c r="D28" s="192" t="s">
        <v>25</v>
      </c>
      <c r="E28" s="190" cm="1">
        <f t="array" ref="E28">INDEX(_xlfn._xlws.FILTER(CapacityTable[], (CapacityTable[Model] = $D28) * (CapacityTable[T ext] = 7) * (CapacityTable[T water out] = 45) * (CapacityTable[Type] = "Best COP"),Tableau2[]),1,5)</f>
        <v>5.4823500774551901</v>
      </c>
      <c r="F28" s="190" cm="1">
        <f t="array" ref="F28">INDEX(_xlfn._xlws.FILTER(CapacityTable[], (CapacityTable[Model] = $D28) * (CapacityTable[T ext] = 7) * (CapacityTable[T water out] = 45) * (CapacityTable[Type] = "Best COP"),Tableau2[]),1,6)</f>
        <v>1.4827343531874417</v>
      </c>
      <c r="G28" s="190" cm="1">
        <f t="array" ref="G28">INDEX(_xlfn._xlws.FILTER(CapacityTable[], (CapacityTable[Model] = $D28) * (CapacityTable[T ext] = 7) * (CapacityTable[T water out] = 45) * (CapacityTable[Type] = "Best COP"),Tableau2[]),1,7)</f>
        <v>3.6974594037494</v>
      </c>
      <c r="H28" s="197" cm="1">
        <f t="array" ref="H28">INDEX(_xlfn._xlws.FILTER(CapacityTable[], (CapacityTable[Model] = $D28) * (CapacityTable[T ext] = 7) * (CapacityTable[T water out] = 45) * (CapacityTable[Type] = "Best COP"),Tableau2[]),1,8)*1000/60</f>
        <v>15.941449525828743</v>
      </c>
      <c r="I28" s="215" t="s">
        <v>48</v>
      </c>
    </row>
    <row r="29" spans="1:9" x14ac:dyDescent="0.25">
      <c r="A29" s="31"/>
      <c r="B29" s="31"/>
      <c r="C29" s="260"/>
      <c r="D29" s="193" t="s">
        <v>26</v>
      </c>
      <c r="E29" s="189" t="str" cm="1">
        <f t="array" ref="E29">INDEX(_xlfn._xlws.FILTER(CapacityTable[], (CapacityTable[Model] = $D29) * (CapacityTable[T ext] = 7) * (CapacityTable[T water out] = 45) * (CapacityTable[Type] = "Best COP"),Tableau2[]),1,5)</f>
        <v>No value</v>
      </c>
      <c r="F29" s="189" t="str" cm="1">
        <f t="array" ref="F29">INDEX(_xlfn._xlws.FILTER(CapacityTable[], (CapacityTable[Model] = $D29) * (CapacityTable[T ext] = 7) * (CapacityTable[T water out] = 45) * (CapacityTable[Type] = "Best COP"),Tableau2[]),1,6)</f>
        <v>No value</v>
      </c>
      <c r="G29" s="189" t="str" cm="1">
        <f t="array" ref="G29">INDEX(_xlfn._xlws.FILTER(CapacityTable[], (CapacityTable[Model] = $D29) * (CapacityTable[T ext] = 7) * (CapacityTable[T water out] = 45) * (CapacityTable[Type] = "Best COP"),Tableau2[]),1,7)</f>
        <v>No value</v>
      </c>
      <c r="H29" s="78"/>
      <c r="I29" s="215"/>
    </row>
    <row r="30" spans="1:9" ht="15.75" thickBot="1" x14ac:dyDescent="0.3">
      <c r="A30" s="31"/>
      <c r="B30" s="31"/>
      <c r="C30" s="261"/>
      <c r="D30" s="198" t="s">
        <v>27</v>
      </c>
      <c r="E30" s="199" t="str" cm="1">
        <f t="array" ref="E30">INDEX(_xlfn._xlws.FILTER(CapacityTable[], (CapacityTable[Model] = $D30) * (CapacityTable[T ext] = 7) * (CapacityTable[T water out] = 45) * (CapacityTable[Type] = "Best COP"),Tableau2[]),1,5)</f>
        <v>No value</v>
      </c>
      <c r="F30" s="199" t="str" cm="1">
        <f t="array" ref="F30">INDEX(_xlfn._xlws.FILTER(CapacityTable[], (CapacityTable[Model] = $D30) * (CapacityTable[T ext] = 7) * (CapacityTable[T water out] = 45) * (CapacityTable[Type] = "Best COP"),Tableau2[]),1,6)</f>
        <v>No value</v>
      </c>
      <c r="G30" s="199" t="str" cm="1">
        <f t="array" ref="G30">INDEX(_xlfn._xlws.FILTER(CapacityTable[], (CapacityTable[Model] = $D30) * (CapacityTable[T ext] = 7) * (CapacityTable[T water out] = 45) * (CapacityTable[Type] = "Best COP"),Tableau2[]),1,7)</f>
        <v>No value</v>
      </c>
      <c r="H30" s="200"/>
      <c r="I30" s="215"/>
    </row>
    <row r="31" spans="1:9" ht="15" customHeight="1" x14ac:dyDescent="0.25">
      <c r="A31" s="31"/>
      <c r="B31" s="31"/>
      <c r="C31" s="255" t="s">
        <v>49</v>
      </c>
      <c r="D31" s="195" t="s">
        <v>23</v>
      </c>
      <c r="E31" s="202" cm="1">
        <f t="array" ref="E31">INDEX(_xlfn._xlws.FILTER(CapacityTable[], (CapacityTable[Model] = $D31) * (CapacityTable[T ext] = 2) * (CapacityTable[T water out] = 45) * (CapacityTable[Type] = "Best COP"),Tableau2[]),1,5)</f>
        <v>3.7375202144012603</v>
      </c>
      <c r="F31" s="202" cm="1">
        <f t="array" ref="F31">INDEX(_xlfn._xlws.FILTER(CapacityTable[], (CapacityTable[Model] = $D31) * (CapacityTable[T ext] = 2) * (CapacityTable[T water out] = 45) * (CapacityTable[Type] = "Best COP"),Tableau2[]),1,6)</f>
        <v>1.2262370075777669</v>
      </c>
      <c r="G31" s="202" cm="1">
        <f t="array" ref="G31">INDEX(_xlfn._xlws.FILTER(CapacityTable[], (CapacityTable[Model] = $D31) * (CapacityTable[T ext] = 2) * (CapacityTable[T water out] = 45) * (CapacityTable[Type] = "Best COP"),Tableau2[]),1,7)</f>
        <v>3.04795907422834</v>
      </c>
      <c r="H31" s="99" cm="1">
        <f t="array" ref="H31">INDEX(_xlfn._xlws.FILTER(CapacityTable[], (CapacityTable[Model] = $D31) * (CapacityTable[T ext] = 2) * (CapacityTable[T water out] = 45) * (CapacityTable[Type] = "Best COP"),Tableau2[]),1,8)*1000/60</f>
        <v>10.87778022038316</v>
      </c>
      <c r="I31" s="215" t="s">
        <v>48</v>
      </c>
    </row>
    <row r="32" spans="1:9" x14ac:dyDescent="0.25">
      <c r="A32" s="31"/>
      <c r="B32" s="31"/>
      <c r="C32" s="256"/>
      <c r="D32" s="192" t="s">
        <v>25</v>
      </c>
      <c r="E32" s="190" cm="1">
        <f t="array" ref="E32">INDEX(_xlfn._xlws.FILTER(CapacityTable[], (CapacityTable[Model] = $D32) * (CapacityTable[T ext] = 2) * (CapacityTable[T water out] = 45) * (CapacityTable[Type] = "Best COP"),Tableau2[]),1,5)</f>
        <v>6.0127405203443107</v>
      </c>
      <c r="F32" s="190" cm="1">
        <f t="array" ref="F32">INDEX(_xlfn._xlws.FILTER(CapacityTable[], (CapacityTable[Model] = $D32) * (CapacityTable[T ext] = 2) * (CapacityTable[T water out] = 45) * (CapacityTable[Type] = "Best COP"),Tableau2[]),1,6)</f>
        <v>1.8514229939169382</v>
      </c>
      <c r="G32" s="190" cm="1">
        <f t="array" ref="G32">INDEX(_xlfn._xlws.FILTER(CapacityTable[], (CapacityTable[Model] = $D32) * (CapacityTable[T ext] = 2) * (CapacityTable[T water out] = 45) * (CapacityTable[Type] = "Best COP"),Tableau2[]),1,7)</f>
        <v>3.2476319782674499</v>
      </c>
      <c r="H32" s="197" cm="1">
        <f t="array" ref="H32">INDEX(_xlfn._xlws.FILTER(CapacityTable[], (CapacityTable[Model] = $D32) * (CapacityTable[T ext] = 2) * (CapacityTable[T water out] = 45) * (CapacityTable[Type] = "Best COP"),Tableau2[]),1,8)*1000/60</f>
        <v>17.476238650298875</v>
      </c>
      <c r="I32" s="215" t="s">
        <v>48</v>
      </c>
    </row>
    <row r="33" spans="1:9" x14ac:dyDescent="0.25">
      <c r="A33" s="31"/>
      <c r="B33" s="31"/>
      <c r="C33" s="256"/>
      <c r="D33" s="193" t="s">
        <v>26</v>
      </c>
      <c r="E33" s="189" t="str" cm="1">
        <f t="array" ref="E33">INDEX(_xlfn._xlws.FILTER(CapacityTable[], (CapacityTable[Model] = $D33) * (CapacityTable[T ext] = 2) * (CapacityTable[T water out] = 45) * (CapacityTable[Type] = "Best COP"),Tableau2[]),1,5)</f>
        <v>No value</v>
      </c>
      <c r="F33" s="189" t="str" cm="1">
        <f t="array" ref="F33">INDEX(_xlfn._xlws.FILTER(CapacityTable[], (CapacityTable[Model] = $D33) * (CapacityTable[T ext] = 2) * (CapacityTable[T water out] = 45) * (CapacityTable[Type] = "Best COP"),Tableau2[]),1,6)</f>
        <v>No value</v>
      </c>
      <c r="G33" s="189" t="str" cm="1">
        <f t="array" ref="G33">INDEX(_xlfn._xlws.FILTER(CapacityTable[], (CapacityTable[Model] = $D33) * (CapacityTable[T ext] = 2) * (CapacityTable[T water out] = 45) * (CapacityTable[Type] = "Best COP"),Tableau2[]),1,7)</f>
        <v>No value</v>
      </c>
      <c r="H33" s="78"/>
      <c r="I33" s="215"/>
    </row>
    <row r="34" spans="1:9" ht="15.75" thickBot="1" x14ac:dyDescent="0.3">
      <c r="A34" s="31"/>
      <c r="B34" s="31"/>
      <c r="C34" s="257"/>
      <c r="D34" s="198" t="s">
        <v>27</v>
      </c>
      <c r="E34" s="199" t="str" cm="1">
        <f t="array" ref="E34">INDEX(_xlfn._xlws.FILTER(CapacityTable[], (CapacityTable[Model] = $D34) * (CapacityTable[T ext] = 2) * (CapacityTable[T water out] = 45) * (CapacityTable[Type] = "Best COP"),Tableau2[]),1,5)</f>
        <v>No value</v>
      </c>
      <c r="F34" s="199" t="str" cm="1">
        <f t="array" ref="F34">INDEX(_xlfn._xlws.FILTER(CapacityTable[], (CapacityTable[Model] = $D34) * (CapacityTable[T ext] = 2) * (CapacityTable[T water out] = 45) * (CapacityTable[Type] = "Best COP"),Tableau2[]),1,6)</f>
        <v>No value</v>
      </c>
      <c r="G34" s="199" t="str" cm="1">
        <f t="array" ref="G34">INDEX(_xlfn._xlws.FILTER(CapacityTable[], (CapacityTable[Model] = $D34) * (CapacityTable[T ext] = 2) * (CapacityTable[T water out] = 45) * (CapacityTable[Type] = "Best COP"),Tableau2[]),1,7)</f>
        <v>No value</v>
      </c>
      <c r="H34" s="200"/>
      <c r="I34" s="215"/>
    </row>
    <row r="35" spans="1:9" ht="15" customHeight="1" x14ac:dyDescent="0.25">
      <c r="A35" s="31"/>
      <c r="B35" s="31"/>
      <c r="C35" s="259" t="s">
        <v>50</v>
      </c>
      <c r="D35" s="195" t="s">
        <v>23</v>
      </c>
      <c r="E35" s="202" cm="1">
        <f t="array" ref="E35">INDEX(_xlfn._xlws.FILTER(CapacityTable[], (CapacityTable[Model] = $D35) * (CapacityTable[T ext] = -7) * (CapacityTable[T water out] = 45) * (CapacityTable[Type] = "Max power"),Tableau2[]),1,5)</f>
        <v>5.5054331486980201</v>
      </c>
      <c r="F35" s="202" cm="1">
        <f t="array" ref="F35">INDEX(_xlfn._xlws.FILTER(CapacityTable[], (CapacityTable[Model] = $D35) * (CapacityTable[T ext] = -7) * (CapacityTable[T water out] = 45) * (CapacityTable[Type] = "Max power"),Tableau2[]),1,6)</f>
        <v>2.3513029658722884</v>
      </c>
      <c r="G35" s="202" cm="1">
        <f t="array" ref="G35">INDEX(_xlfn._xlws.FILTER(CapacityTable[], (CapacityTable[Model] = $D35) * (CapacityTable[T ext] = -7) * (CapacityTable[T water out] = 45) * (CapacityTable[Type] = "Max power"),Tableau2[]),1,7)</f>
        <v>2.3303104574295799</v>
      </c>
      <c r="H35" s="99"/>
      <c r="I35" s="215" t="s">
        <v>46</v>
      </c>
    </row>
    <row r="36" spans="1:9" x14ac:dyDescent="0.25">
      <c r="A36" s="31"/>
      <c r="B36" s="31"/>
      <c r="C36" s="260"/>
      <c r="D36" s="192" t="s">
        <v>25</v>
      </c>
      <c r="E36" s="190" cm="1">
        <f t="array" ref="E36">INDEX(_xlfn._xlws.FILTER(CapacityTable[], (CapacityTable[Model] = $D36) * (CapacityTable[T ext] = -7) * (CapacityTable[T water out] = 45) * (CapacityTable[Type] = "Max power"),Tableau2[]),1,5)</f>
        <v>8.2564976448090803</v>
      </c>
      <c r="F36" s="190" cm="1">
        <f t="array" ref="F36">INDEX(_xlfn._xlws.FILTER(CapacityTable[], (CapacityTable[Model] = $D36) * (CapacityTable[T ext] = -7) * (CapacityTable[T water out] = 45) * (CapacityTable[Type] = "Max power"),Tableau2[]),1,6)</f>
        <v>3.3815279557746103</v>
      </c>
      <c r="G36" s="190" cm="1">
        <f t="array" ref="G36">INDEX(_xlfn._xlws.FILTER(CapacityTable[], (CapacityTable[Model] = $D36) * (CapacityTable[T ext] = -7) * (CapacityTable[T water out] = 45) * (CapacityTable[Type] = "Max power"),Tableau2[]),1,7)</f>
        <v>2.4416470166125701</v>
      </c>
      <c r="H36" s="197"/>
      <c r="I36" s="215" t="s">
        <v>46</v>
      </c>
    </row>
    <row r="37" spans="1:9" x14ac:dyDescent="0.25">
      <c r="A37" s="31"/>
      <c r="B37" s="31"/>
      <c r="C37" s="260"/>
      <c r="D37" s="193" t="s">
        <v>26</v>
      </c>
      <c r="E37" s="189" t="str" cm="1">
        <f t="array" ref="E37">INDEX(_xlfn._xlws.FILTER(CapacityTable[], (CapacityTable[Model] = $D37) * (CapacityTable[T ext] = -7) * (CapacityTable[T water out] = 45) * (CapacityTable[Type] = "Max power"),Tableau2[]),1,5)</f>
        <v>No value</v>
      </c>
      <c r="F37" s="189" t="str" cm="1">
        <f t="array" ref="F37">INDEX(_xlfn._xlws.FILTER(CapacityTable[], (CapacityTable[Model] = $D37) * (CapacityTable[T ext] = -7) * (CapacityTable[T water out] = 45) * (CapacityTable[Type] = "Max power"),Tableau2[]),1,6)</f>
        <v>No value</v>
      </c>
      <c r="G37" s="189" t="str" cm="1">
        <f t="array" ref="G37">INDEX(_xlfn._xlws.FILTER(CapacityTable[], (CapacityTable[Model] = $D37) * (CapacityTable[T ext] = -7) * (CapacityTable[T water out] = 45) * (CapacityTable[Type] = "Max power"),Tableau2[]),1,7)</f>
        <v>No value</v>
      </c>
      <c r="H37" s="78"/>
      <c r="I37" s="215"/>
    </row>
    <row r="38" spans="1:9" ht="15.75" thickBot="1" x14ac:dyDescent="0.3">
      <c r="A38" s="31"/>
      <c r="B38" s="31"/>
      <c r="C38" s="261"/>
      <c r="D38" s="198" t="s">
        <v>27</v>
      </c>
      <c r="E38" s="199" t="str" cm="1">
        <f t="array" ref="E38">INDEX(_xlfn._xlws.FILTER(CapacityTable[], (CapacityTable[Model] = $D38) * (CapacityTable[T ext] = -7) * (CapacityTable[T water out] = 45) * (CapacityTable[Type] = "Max power"),Tableau2[]),1,5)</f>
        <v>No value</v>
      </c>
      <c r="F38" s="199" t="str" cm="1">
        <f t="array" ref="F38">INDEX(_xlfn._xlws.FILTER(CapacityTable[], (CapacityTable[Model] = $D38) * (CapacityTable[T ext] = -7) * (CapacityTable[T water out] = 45) * (CapacityTable[Type] = "Max power"),Tableau2[]),1,6)</f>
        <v>No value</v>
      </c>
      <c r="G38" s="199" t="str" cm="1">
        <f t="array" ref="G38">INDEX(_xlfn._xlws.FILTER(CapacityTable[], (CapacityTable[Model] = $D38) * (CapacityTable[T ext] = -7) * (CapacityTable[T water out] = 45) * (CapacityTable[Type] = "Max power"),Tableau2[]),1,7)</f>
        <v>No value</v>
      </c>
      <c r="H38" s="200"/>
      <c r="I38" s="215"/>
    </row>
    <row r="39" spans="1:9" ht="15" customHeight="1" x14ac:dyDescent="0.25">
      <c r="A39" s="31"/>
      <c r="B39" s="31"/>
      <c r="C39" s="255" t="s">
        <v>51</v>
      </c>
      <c r="D39" s="195" t="s">
        <v>23</v>
      </c>
      <c r="E39" s="202" cm="1">
        <f t="array" ref="E39">INDEX(_xlfn._xlws.FILTER(CapacityTable[], (CapacityTable[Model] = $D39) * (CapacityTable[T ext] = -10) * (CapacityTable[T water out] = 45) * (CapacityTable[Type] = "Max power"),Tableau2[]),1,5)</f>
        <v>5.0203194274312901</v>
      </c>
      <c r="F39" s="202" cm="1">
        <f t="array" ref="F39">INDEX(_xlfn._xlws.FILTER(CapacityTable[], (CapacityTable[Model] = $D39) * (CapacityTable[T ext] = -10) * (CapacityTable[T water out] = 45) * (CapacityTable[Type] = "Max power"),Tableau2[]),1,6)</f>
        <v>2.2916330474018318</v>
      </c>
      <c r="G39" s="202" cm="1">
        <f t="array" ref="G39">INDEX(_xlfn._xlws.FILTER(CapacityTable[], (CapacityTable[Model] = $D39) * (CapacityTable[T ext] = -10) * (CapacityTable[T water out] = 45) * (CapacityTable[Type] = "Max power"),Tableau2[]),1,7)</f>
        <v>2.1785163126515998</v>
      </c>
      <c r="H39" s="99"/>
      <c r="I39" s="215" t="s">
        <v>46</v>
      </c>
    </row>
    <row r="40" spans="1:9" x14ac:dyDescent="0.25">
      <c r="A40" s="31"/>
      <c r="B40" s="31"/>
      <c r="C40" s="256"/>
      <c r="D40" s="192" t="s">
        <v>25</v>
      </c>
      <c r="E40" s="190" cm="1">
        <f t="array" ref="E40">INDEX(_xlfn._xlws.FILTER(CapacityTable[], (CapacityTable[Model] = $D40) * (CapacityTable[T ext] = -10) * (CapacityTable[T water out] = 45) * (CapacityTable[Type] = "Max power"),Tableau2[]),1,5)</f>
        <v>7.7294901023145703</v>
      </c>
      <c r="F40" s="190" cm="1">
        <f t="array" ref="F40">INDEX(_xlfn._xlws.FILTER(CapacityTable[], (CapacityTable[Model] = $D40) * (CapacityTable[T ext] = -10) * (CapacityTable[T water out] = 45) * (CapacityTable[Type] = "Max power"),Tableau2[]),1,6)</f>
        <v>3.3099160662226255</v>
      </c>
      <c r="G40" s="190" cm="1">
        <f t="array" ref="G40">INDEX(_xlfn._xlws.FILTER(CapacityTable[], (CapacityTable[Model] = $D40) * (CapacityTable[T ext] = -10) * (CapacityTable[T water out] = 45) * (CapacityTable[Type] = "Max power"),Tableau2[]),1,7)</f>
        <v>2.33525260087205</v>
      </c>
      <c r="H40" s="197"/>
      <c r="I40" s="215" t="s">
        <v>46</v>
      </c>
    </row>
    <row r="41" spans="1:9" x14ac:dyDescent="0.25">
      <c r="A41" s="31"/>
      <c r="B41" s="31"/>
      <c r="C41" s="256"/>
      <c r="D41" s="193" t="s">
        <v>26</v>
      </c>
      <c r="E41" s="189" t="str" cm="1">
        <f t="array" ref="E41">INDEX(_xlfn._xlws.FILTER(CapacityTable[], (CapacityTable[Model] = $D41) * (CapacityTable[T ext] = -10) * (CapacityTable[T water out] = 45) * (CapacityTable[Type] = "Max power"),Tableau2[]),1,5)</f>
        <v>No value</v>
      </c>
      <c r="F41" s="189" t="str" cm="1">
        <f t="array" ref="F41">INDEX(_xlfn._xlws.FILTER(CapacityTable[], (CapacityTable[Model] = $D41) * (CapacityTable[T ext] = -10) * (CapacityTable[T water out] = 45) * (CapacityTable[Type] = "Max power"),Tableau2[]),1,6)</f>
        <v>No value</v>
      </c>
      <c r="G41" s="189" t="str" cm="1">
        <f t="array" ref="G41">INDEX(_xlfn._xlws.FILTER(CapacityTable[], (CapacityTable[Model] = $D41) * (CapacityTable[T ext] = -10) * (CapacityTable[T water out] = 45) * (CapacityTable[Type] = "Max power"),Tableau2[]),1,7)</f>
        <v>No value</v>
      </c>
      <c r="H41" s="78"/>
      <c r="I41" s="215"/>
    </row>
    <row r="42" spans="1:9" ht="15.75" thickBot="1" x14ac:dyDescent="0.3">
      <c r="A42" s="31"/>
      <c r="B42" s="31"/>
      <c r="C42" s="257"/>
      <c r="D42" s="198" t="s">
        <v>27</v>
      </c>
      <c r="E42" s="199" t="str" cm="1">
        <f t="array" ref="E42">INDEX(_xlfn._xlws.FILTER(CapacityTable[], (CapacityTable[Model] = $D42) * (CapacityTable[T ext] = -10) * (CapacityTable[T water out] = 45) * (CapacityTable[Type] = "Max power"),Tableau2[]),1,5)</f>
        <v>No value</v>
      </c>
      <c r="F42" s="199" t="str" cm="1">
        <f t="array" ref="F42">INDEX(_xlfn._xlws.FILTER(CapacityTable[], (CapacityTable[Model] = $D42) * (CapacityTable[T ext] = -10) * (CapacityTable[T water out] = 45) * (CapacityTable[Type] = "Max power"),Tableau2[]),1,6)</f>
        <v>No value</v>
      </c>
      <c r="G42" s="199" t="str" cm="1">
        <f t="array" ref="G42">INDEX(_xlfn._xlws.FILTER(CapacityTable[], (CapacityTable[Model] = $D42) * (CapacityTable[T ext] = -10) * (CapacityTable[T water out] = 45) * (CapacityTable[Type] = "Max power"),Tableau2[]),1,7)</f>
        <v>No value</v>
      </c>
      <c r="H42" s="200"/>
      <c r="I42" s="215"/>
    </row>
    <row r="43" spans="1:9" ht="15" customHeight="1" x14ac:dyDescent="0.25">
      <c r="A43" s="31"/>
      <c r="B43" s="31"/>
      <c r="C43" s="259" t="s">
        <v>52</v>
      </c>
      <c r="D43" s="195" t="s">
        <v>23</v>
      </c>
      <c r="E43" s="202" cm="1">
        <f t="array" ref="E43">INDEX(_xlfn._xlws.FILTER(CapacityTable[], (CapacityTable[Model] = $D43) * (CapacityTable[T ext] = 7) * (CapacityTable[T water out] = 55) * (CapacityTable[Results origin] = "Certified values"),Tableau2[]),1,5)</f>
        <v>4.38</v>
      </c>
      <c r="F43" s="202" cm="1">
        <f t="array" ref="F43">INDEX(_xlfn._xlws.FILTER(CapacityTable[], (CapacityTable[Model] = $D43) * (CapacityTable[T ext] = 7) * (CapacityTable[T water out] = 55) * (CapacityTable[Results origin] = "Certified values"),Tableau2[]),1,6)</f>
        <v>1.46</v>
      </c>
      <c r="G43" s="202" cm="1">
        <f t="array" ref="G43">INDEX(_xlfn._xlws.FILTER(CapacityTable[], (CapacityTable[Model] = $D43) * (CapacityTable[T ext] = 7) * (CapacityTable[T water out] = 55) * (CapacityTable[Results origin] = "Certified values"),Tableau2[]),1,7)</f>
        <v>3.01</v>
      </c>
      <c r="H43" s="99" cm="1">
        <f t="array" ref="H43">INDEX(_xlfn._xlws.FILTER(CapacityTable[], (CapacityTable[Model] = $D43) * (CapacityTable[T ext] = 7) * (CapacityTable[T water out] = 55) * (CapacityTable[Results origin] = I43),Tableau2[]),1,8)*1000/60</f>
        <v>8</v>
      </c>
      <c r="I43" s="215" t="s">
        <v>41</v>
      </c>
    </row>
    <row r="44" spans="1:9" x14ac:dyDescent="0.25">
      <c r="A44" s="31"/>
      <c r="B44" s="31"/>
      <c r="C44" s="260"/>
      <c r="D44" s="192" t="s">
        <v>25</v>
      </c>
      <c r="E44" s="190" cm="1">
        <f t="array" ref="E44">INDEX(_xlfn._xlws.FILTER(CapacityTable[], (CapacityTable[Model] = $D44) * (CapacityTable[T ext] = 7) * (CapacityTable[T water out] = 55) * (CapacityTable[Results origin] = "Certified values"),Tableau2[]),1,5)</f>
        <v>7.04</v>
      </c>
      <c r="F44" s="190">
        <v>2.2400000000000002</v>
      </c>
      <c r="G44" s="190">
        <v>3.14</v>
      </c>
      <c r="H44" s="197" cm="1">
        <f t="array" ref="H44">INDEX(_xlfn._xlws.FILTER(CapacityTable[], (CapacityTable[Model] = $D44) * (CapacityTable[T ext] = 7) * (CapacityTable[T water out] = 55) * (CapacityTable[Results origin] = I44),Tableau2[]),1,8)*1000/60</f>
        <v>12.866666666666667</v>
      </c>
      <c r="I44" s="215" t="s">
        <v>41</v>
      </c>
    </row>
    <row r="45" spans="1:9" x14ac:dyDescent="0.25">
      <c r="A45" s="31"/>
      <c r="B45" s="31"/>
      <c r="C45" s="260"/>
      <c r="D45" s="193" t="s">
        <v>26</v>
      </c>
      <c r="E45" s="189"/>
      <c r="F45" s="189"/>
      <c r="G45" s="189"/>
      <c r="H45" s="78"/>
      <c r="I45" s="215" t="s">
        <v>41</v>
      </c>
    </row>
    <row r="46" spans="1:9" x14ac:dyDescent="0.25">
      <c r="A46" s="31"/>
      <c r="B46" s="31"/>
      <c r="C46" s="261"/>
      <c r="D46" s="198" t="s">
        <v>27</v>
      </c>
      <c r="E46" s="199"/>
      <c r="F46" s="199"/>
      <c r="G46" s="199"/>
      <c r="H46" s="200"/>
      <c r="I46" s="215" t="s">
        <v>41</v>
      </c>
    </row>
    <row r="47" spans="1:9" ht="15" customHeight="1" x14ac:dyDescent="0.25">
      <c r="A47" s="31"/>
      <c r="B47" s="31"/>
      <c r="C47" s="255" t="s">
        <v>53</v>
      </c>
      <c r="D47" s="195" t="s">
        <v>23</v>
      </c>
      <c r="E47" s="202" cm="1">
        <f t="array" ref="E47">INDEX(_xlfn._xlws.FILTER(CapacityTable[], (CapacityTable[Model] = $D47) * (CapacityTable[T ext] = 2) * (CapacityTable[T water out] = 55) * (CapacityTable[Type] = "Best COP"),Tableau2[]),1,5)</f>
        <v>3.9732273691731299</v>
      </c>
      <c r="F47" s="202" cm="1">
        <f t="array" ref="F47">INDEX(_xlfn._xlws.FILTER(CapacityTable[], (CapacityTable[Model] = $D47) * (CapacityTable[T ext] = 2) * (CapacityTable[T water out] = 55) * (CapacityTable[Type] = "Best COP"),Tableau2[]),1,6)</f>
        <v>1.5574307893011619</v>
      </c>
      <c r="G47" s="202" cm="1">
        <f t="array" ref="G47">INDEX(_xlfn._xlws.FILTER(CapacityTable[], (CapacityTable[Model] = $D47) * (CapacityTable[T ext] = 2) * (CapacityTable[T water out] = 55) * (CapacityTable[Type] = "Best COP"),Tableau2[]),1,7)</f>
        <v>2.5511421736794899</v>
      </c>
      <c r="H47" s="99" cm="1">
        <f t="array" ref="H47">INDEX(_xlfn._xlws.FILTER(CapacityTable[], (CapacityTable[Model] = $D47) * (CapacityTable[T ext] = 2) * (CapacityTable[T water out] = 55) * (CapacityTable[Type] = "Best COP"),Tableau2[]),1,8)*1000/60</f>
        <v>7.2384407521752001</v>
      </c>
      <c r="I47" s="215" t="s">
        <v>48</v>
      </c>
    </row>
    <row r="48" spans="1:9" x14ac:dyDescent="0.25">
      <c r="A48" s="31"/>
      <c r="B48" s="31"/>
      <c r="C48" s="256"/>
      <c r="D48" s="192" t="s">
        <v>25</v>
      </c>
      <c r="E48" s="190" cm="1">
        <f t="array" ref="E48">INDEX(_xlfn._xlws.FILTER(CapacityTable[], (CapacityTable[Model] = $D48) * (CapacityTable[T ext] = 2) * (CapacityTable[T water out] = 55) * (CapacityTable[Type] = "Best COP"),Tableau2[]),1,5)</f>
        <v>6.3443383400412205</v>
      </c>
      <c r="F48" s="190" cm="1">
        <f t="array" ref="F48">INDEX(_xlfn._xlws.FILTER(CapacityTable[], (CapacityTable[Model] = $D48) * (CapacityTable[T ext] = 2) * (CapacityTable[T water out] = 55) * (CapacityTable[Type] = "Best COP"),Tableau2[]),1,6)</f>
        <v>2.372259018494574</v>
      </c>
      <c r="G48" s="190" cm="1">
        <f t="array" ref="G48">INDEX(_xlfn._xlws.FILTER(CapacityTable[], (CapacityTable[Model] = $D48) * (CapacityTable[T ext] = 2) * (CapacityTable[T water out] = 55) * (CapacityTable[Type] = "Best COP"),Tableau2[]),1,7)</f>
        <v>2.6743868568227902</v>
      </c>
      <c r="H48" s="197" cm="1">
        <f t="array" ref="H48">INDEX(_xlfn._xlws.FILTER(CapacityTable[], (CapacityTable[Model] = $D48) * (CapacityTable[T ext] = 2) * (CapacityTable[T water out] = 55) * (CapacityTable[Type] = "Best COP"),Tableau2[]),1,8)*1000/60</f>
        <v>12.499999999999979</v>
      </c>
      <c r="I48" s="215" t="s">
        <v>48</v>
      </c>
    </row>
    <row r="49" spans="1:9" x14ac:dyDescent="0.25">
      <c r="A49" s="31"/>
      <c r="B49" s="31"/>
      <c r="C49" s="256"/>
      <c r="D49" s="193" t="s">
        <v>26</v>
      </c>
      <c r="E49" s="189" t="str" cm="1">
        <f t="array" ref="E49">INDEX(_xlfn._xlws.FILTER(CapacityTable[], (CapacityTable[Model] = $D49) * (CapacityTable[T ext] = 2) * (CapacityTable[T water out] = 55) * (CapacityTable[Type] = "Best COP"),Tableau2[]),1,5)</f>
        <v>No value</v>
      </c>
      <c r="F49" s="189" t="str" cm="1">
        <f t="array" ref="F49">INDEX(_xlfn._xlws.FILTER(CapacityTable[], (CapacityTable[Model] = $D49) * (CapacityTable[T ext] = 2) * (CapacityTable[T water out] = 55) * (CapacityTable[Type] = "Best COP"),Tableau2[]),1,6)</f>
        <v>No value</v>
      </c>
      <c r="G49" s="189" t="str" cm="1">
        <f t="array" ref="G49">INDEX(_xlfn._xlws.FILTER(CapacityTable[], (CapacityTable[Model] = $D49) * (CapacityTable[T ext] = 2) * (CapacityTable[T water out] = 55) * (CapacityTable[Type] = "Best COP"),Tableau2[]),1,7)</f>
        <v>No value</v>
      </c>
      <c r="H49" s="78"/>
      <c r="I49" s="215"/>
    </row>
    <row r="50" spans="1:9" ht="15.75" thickBot="1" x14ac:dyDescent="0.3">
      <c r="A50" s="31"/>
      <c r="B50" s="31"/>
      <c r="C50" s="257"/>
      <c r="D50" s="198" t="s">
        <v>27</v>
      </c>
      <c r="E50" s="199" t="str" cm="1">
        <f t="array" ref="E50">INDEX(_xlfn._xlws.FILTER(CapacityTable[], (CapacityTable[Model] = $D50) * (CapacityTable[T ext] = 2) * (CapacityTable[T water out] = 55) * (CapacityTable[Type] = "Best COP"),Tableau2[]),1,5)</f>
        <v>No value</v>
      </c>
      <c r="F50" s="199" t="str" cm="1">
        <f t="array" ref="F50">INDEX(_xlfn._xlws.FILTER(CapacityTable[], (CapacityTable[Model] = $D50) * (CapacityTable[T ext] = 2) * (CapacityTable[T water out] = 55) * (CapacityTable[Type] = "Best COP"),Tableau2[]),1,6)</f>
        <v>No value</v>
      </c>
      <c r="G50" s="199" t="str" cm="1">
        <f t="array" ref="G50">INDEX(_xlfn._xlws.FILTER(CapacityTable[], (CapacityTable[Model] = $D50) * (CapacityTable[T ext] = 2) * (CapacityTable[T water out] = 55) * (CapacityTable[Type] = "Best COP"),Tableau2[]),1,7)</f>
        <v>No value</v>
      </c>
      <c r="H50" s="200"/>
      <c r="I50" s="215"/>
    </row>
    <row r="51" spans="1:9" ht="15" customHeight="1" x14ac:dyDescent="0.25">
      <c r="A51" s="31"/>
      <c r="B51" s="31"/>
      <c r="C51" s="259" t="s">
        <v>54</v>
      </c>
      <c r="D51" s="195" t="s">
        <v>23</v>
      </c>
      <c r="E51" s="202">
        <v>2.8</v>
      </c>
      <c r="F51" s="202">
        <f>E51/G51</f>
        <v>1.3397129186602872</v>
      </c>
      <c r="G51" s="202">
        <v>2.09</v>
      </c>
      <c r="H51" s="99"/>
      <c r="I51" s="212" t="s">
        <v>55</v>
      </c>
    </row>
    <row r="52" spans="1:9" x14ac:dyDescent="0.25">
      <c r="A52" s="31"/>
      <c r="B52" s="31"/>
      <c r="C52" s="260"/>
      <c r="D52" s="192" t="s">
        <v>25</v>
      </c>
      <c r="E52" s="190">
        <v>3.3555999999999999</v>
      </c>
      <c r="F52" s="190">
        <f>E52/G52</f>
        <v>1.5122127084272194</v>
      </c>
      <c r="G52" s="190">
        <v>2.2189999999999999</v>
      </c>
      <c r="H52" s="197"/>
      <c r="I52" s="212" t="s">
        <v>56</v>
      </c>
    </row>
    <row r="53" spans="1:9" x14ac:dyDescent="0.25">
      <c r="A53" s="31"/>
      <c r="B53" s="31"/>
      <c r="C53" s="260"/>
      <c r="D53" s="193" t="s">
        <v>26</v>
      </c>
      <c r="E53" s="189"/>
      <c r="F53" s="189"/>
      <c r="G53" s="189"/>
      <c r="H53" s="78"/>
      <c r="I53" s="215"/>
    </row>
    <row r="54" spans="1:9" ht="15.75" thickBot="1" x14ac:dyDescent="0.3">
      <c r="A54" s="31"/>
      <c r="B54" s="31"/>
      <c r="C54" s="261"/>
      <c r="D54" s="198" t="s">
        <v>27</v>
      </c>
      <c r="E54" s="199"/>
      <c r="F54" s="199"/>
      <c r="G54" s="199"/>
      <c r="H54" s="200"/>
      <c r="I54" s="215"/>
    </row>
    <row r="55" spans="1:9" ht="15" customHeight="1" x14ac:dyDescent="0.25">
      <c r="A55" s="31"/>
      <c r="B55" s="31"/>
      <c r="C55" s="255" t="s">
        <v>57</v>
      </c>
      <c r="D55" s="195" t="s">
        <v>23</v>
      </c>
      <c r="E55" s="202" cm="1">
        <f t="array" ref="E55">INDEX(_xlfn._xlws.FILTER(CapacityTable[], (CapacityTable[Model] = $D55) * (CapacityTable[T ext] = -10) * (CapacityTable[T water out] = 55) * (CapacityTable[Type] = "Max power"),Tableau2[]),1,5)</f>
        <v>4.8867430437071402</v>
      </c>
      <c r="F55" s="202" cm="1">
        <f t="array" ref="F55">INDEX(_xlfn._xlws.FILTER(CapacityTable[], (CapacityTable[Model] = $D55) * (CapacityTable[T ext] = -10) * (CapacityTable[T water out] = 55) * (CapacityTable[Type] = "Max power"),Tableau2[]),1,6)</f>
        <v>2.5327421666262508</v>
      </c>
      <c r="G55" s="202" cm="1">
        <f t="array" ref="G55">INDEX(_xlfn._xlws.FILTER(CapacityTable[], (CapacityTable[Model] = $D55) * (CapacityTable[T ext] = -10) * (CapacityTable[T water out] = 55) * (CapacityTable[Type] = "Max power"),Tableau2[]),1,7)</f>
        <v>1.9196964692140699</v>
      </c>
      <c r="H55" s="99"/>
      <c r="I55" s="215" t="s">
        <v>46</v>
      </c>
    </row>
    <row r="56" spans="1:9" x14ac:dyDescent="0.25">
      <c r="A56" s="31"/>
      <c r="B56" s="31"/>
      <c r="C56" s="256"/>
      <c r="D56" s="192" t="s">
        <v>25</v>
      </c>
      <c r="E56" s="190" cm="1">
        <f t="array" ref="E56">INDEX(_xlfn._xlws.FILTER(CapacityTable[], (CapacityTable[Model] = $D56) * (CapacityTable[T ext] = -10) * (CapacityTable[T water out] = 55) * (CapacityTable[Type] = "Max power"),Tableau2[]),1,5)</f>
        <v>7.5918561128632502</v>
      </c>
      <c r="F56" s="190" cm="1">
        <f t="array" ref="F56">INDEX(_xlfn._xlws.FILTER(CapacityTable[], (CapacityTable[Model] = $D56) * (CapacityTable[T ext] = -10) * (CapacityTable[T water out] = 55) * (CapacityTable[Type] = "Max power"),Tableau2[]),1,6)</f>
        <v>3.704986598800069</v>
      </c>
      <c r="G56" s="190" cm="1">
        <f t="array" ref="G56">INDEX(_xlfn._xlws.FILTER(CapacityTable[], (CapacityTable[Model] = $D56) * (CapacityTable[T ext] = -10) * (CapacityTable[T water out] = 55) * (CapacityTable[Type] = "Max power"),Tableau2[]),1,7)</f>
        <v>2.0490913827655999</v>
      </c>
      <c r="H56" s="197"/>
      <c r="I56" s="215" t="s">
        <v>46</v>
      </c>
    </row>
    <row r="57" spans="1:9" x14ac:dyDescent="0.25">
      <c r="A57" s="31"/>
      <c r="B57" s="31"/>
      <c r="C57" s="256"/>
      <c r="D57" s="193" t="s">
        <v>26</v>
      </c>
      <c r="E57" s="189" t="str" cm="1">
        <f t="array" ref="E57">INDEX(_xlfn._xlws.FILTER(CapacityTable[], (CapacityTable[Model] = $D57) * (CapacityTable[T ext] = -10) * (CapacityTable[T water out] = 55) * (CapacityTable[Type] = "Max power"),Tableau2[]),1,5)</f>
        <v>No value</v>
      </c>
      <c r="F57" s="189" t="str" cm="1">
        <f t="array" ref="F57">INDEX(_xlfn._xlws.FILTER(CapacityTable[], (CapacityTable[Model] = $D57) * (CapacityTable[T ext] = -10) * (CapacityTable[T water out] = 55) * (CapacityTable[Type] = "Max power"),Tableau2[]),1,6)</f>
        <v>No value</v>
      </c>
      <c r="G57" s="189" t="str" cm="1">
        <f t="array" ref="G57">INDEX(_xlfn._xlws.FILTER(CapacityTable[], (CapacityTable[Model] = $D57) * (CapacityTable[T ext] = -10) * (CapacityTable[T water out] = 55) * (CapacityTable[Type] = "Max power"),Tableau2[]),1,7)</f>
        <v>No value</v>
      </c>
      <c r="H57" s="78"/>
      <c r="I57" s="215"/>
    </row>
    <row r="58" spans="1:9" ht="15.75" thickBot="1" x14ac:dyDescent="0.3">
      <c r="A58" s="31"/>
      <c r="B58" s="31"/>
      <c r="C58" s="256"/>
      <c r="D58" s="198" t="s">
        <v>27</v>
      </c>
      <c r="E58" s="199" t="str" cm="1">
        <f t="array" ref="E58">INDEX(_xlfn._xlws.FILTER(CapacityTable[], (CapacityTable[Model] = $D58) * (CapacityTable[T ext] = -10) * (CapacityTable[T water out] = 55) * (CapacityTable[Type] = "Max power"),Tableau2[]),1,5)</f>
        <v>No value</v>
      </c>
      <c r="F58" s="199" t="str" cm="1">
        <f t="array" ref="F58">INDEX(_xlfn._xlws.FILTER(CapacityTable[], (CapacityTable[Model] = $D58) * (CapacityTable[T ext] = -10) * (CapacityTable[T water out] = 55) * (CapacityTable[Type] = "Max power"),Tableau2[]),1,6)</f>
        <v>No value</v>
      </c>
      <c r="G58" s="199" t="str" cm="1">
        <f t="array" ref="G58">INDEX(_xlfn._xlws.FILTER(CapacityTable[], (CapacityTable[Model] = $D58) * (CapacityTable[T ext] = -10) * (CapacityTable[T water out] = 55) * (CapacityTable[Type] = "Max power"),Tableau2[]),1,7)</f>
        <v>No value</v>
      </c>
      <c r="H58" s="200"/>
      <c r="I58" s="215"/>
    </row>
    <row r="59" spans="1:9" ht="15" customHeight="1" x14ac:dyDescent="0.25">
      <c r="A59" s="31"/>
      <c r="B59" s="31"/>
      <c r="C59" s="258" t="s">
        <v>58</v>
      </c>
      <c r="D59" s="195" t="s">
        <v>23</v>
      </c>
      <c r="E59" s="202" cm="1">
        <f t="array" ref="E59">INDEX(_xlfn._xlws.FILTER(CapacityTable[], (CapacityTable[Model] = $D59) * (CapacityTable[T ext] = 7) * (CapacityTable[T water out] = 65) * (CapacityTable[Type] = "Best COP"),Tableau2[]),1,5)</f>
        <v>4.7435405533739807</v>
      </c>
      <c r="F59" s="202" cm="1">
        <f t="array" ref="F59">INDEX(_xlfn._xlws.FILTER(CapacityTable[], (CapacityTable[Model] = $D59) * (CapacityTable[T ext] = 7) * (CapacityTable[T water out] = 65) * (CapacityTable[Type] = "Best COP"),Tableau2[]),1,6)</f>
        <v>1.9990639650852389</v>
      </c>
      <c r="G59" s="202" cm="1">
        <f t="array" ref="G59">INDEX(_xlfn._xlws.FILTER(CapacityTable[], (CapacityTable[Model] = $D59) * (CapacityTable[T ext] = 7) * (CapacityTable[T water out] = 65) * (CapacityTable[Type] = "Best COP"),Tableau2[]),1,7)</f>
        <v>2.3728808263380001</v>
      </c>
      <c r="H59" s="99" cm="1">
        <f t="array" ref="H59">INDEX(_xlfn._xlws.FILTER(CapacityTable[], (CapacityTable[Model] = $D59) * (CapacityTable[T ext] = 7) * (CapacityTable[T water out] = 65) * (CapacityTable[Type] = "Best COP"),Tableau2[]),1,8)*1000/60</f>
        <v>7.2</v>
      </c>
      <c r="I59" s="215" t="s">
        <v>48</v>
      </c>
    </row>
    <row r="60" spans="1:9" x14ac:dyDescent="0.25">
      <c r="A60" s="31"/>
      <c r="B60" s="31"/>
      <c r="C60" s="253"/>
      <c r="D60" s="192" t="s">
        <v>25</v>
      </c>
      <c r="E60" s="190" cm="1">
        <f t="array" ref="E60">INDEX(_xlfn._xlws.FILTER(CapacityTable[], (CapacityTable[Model] = $D60) * (CapacityTable[T ext] = 7) * (CapacityTable[T water out] = 65) * (CapacityTable[Type] = "Best COP"),Tableau2[]),1,5)</f>
        <v>6.2654636367901304</v>
      </c>
      <c r="F60" s="190" cm="1">
        <f t="array" ref="F60">INDEX(_xlfn._xlws.FILTER(CapacityTable[], (CapacityTable[Model] = $D60) * (CapacityTable[T ext] = 7) * (CapacityTable[T water out] = 65) * (CapacityTable[Type] = "Best COP"),Tableau2[]),1,6)</f>
        <v>2.5943360627073213</v>
      </c>
      <c r="G60" s="190" cm="1">
        <f t="array" ref="G60">INDEX(_xlfn._xlws.FILTER(CapacityTable[], (CapacityTable[Model] = $D60) * (CapacityTable[T ext] = 7) * (CapacityTable[T water out] = 65) * (CapacityTable[Type] = "Best COP"),Tableau2[]),1,7)</f>
        <v>2.4150547521017001</v>
      </c>
      <c r="H60" s="197" cm="1">
        <f t="array" ref="H60">INDEX(_xlfn._xlws.FILTER(CapacityTable[], (CapacityTable[Model] = $D60) * (CapacityTable[T ext] = 7) * (CapacityTable[T water out] = 65) * (CapacityTable[Type] = "Best COP"),Tableau2[]),1,8)*1000/60</f>
        <v>12.499999999999979</v>
      </c>
      <c r="I60" s="215" t="s">
        <v>48</v>
      </c>
    </row>
    <row r="61" spans="1:9" x14ac:dyDescent="0.25">
      <c r="A61" s="31"/>
      <c r="B61" s="31"/>
      <c r="C61" s="253"/>
      <c r="D61" s="193" t="s">
        <v>26</v>
      </c>
      <c r="E61" s="189" t="str" cm="1">
        <f t="array" ref="E61">INDEX(_xlfn._xlws.FILTER(CapacityTable[], (CapacityTable[Model] = $D61) * (CapacityTable[T ext] = 7) * (CapacityTable[T water out] = 65) * (CapacityTable[Type] = "Best COP"),Tableau2[]),1,5)</f>
        <v>No value</v>
      </c>
      <c r="F61" s="189" t="str" cm="1">
        <f t="array" ref="F61">INDEX(_xlfn._xlws.FILTER(CapacityTable[], (CapacityTable[Model] = $D61) * (CapacityTable[T ext] = 7) * (CapacityTable[T water out] = 65) * (CapacityTable[Type] = "Best COP"),Tableau2[]),1,6)</f>
        <v>No value</v>
      </c>
      <c r="G61" s="189" t="str" cm="1">
        <f t="array" ref="G61">INDEX(_xlfn._xlws.FILTER(CapacityTable[], (CapacityTable[Model] = $D61) * (CapacityTable[T ext] = 7) * (CapacityTable[T water out] = 65) * (CapacityTable[Type] = "Best COP"),Tableau2[]),1,7)</f>
        <v>No value</v>
      </c>
      <c r="H61" s="78"/>
      <c r="I61" s="215"/>
    </row>
    <row r="62" spans="1:9" ht="15.75" thickBot="1" x14ac:dyDescent="0.3">
      <c r="A62" s="31"/>
      <c r="B62" s="31"/>
      <c r="C62" s="254"/>
      <c r="D62" s="198" t="s">
        <v>27</v>
      </c>
      <c r="E62" s="199" t="str" cm="1">
        <f t="array" ref="E62">INDEX(_xlfn._xlws.FILTER(CapacityTable[], (CapacityTable[Model] = $D62) * (CapacityTable[T ext] = 7) * (CapacityTable[T water out] = 65) * (CapacityTable[Type] = "Best COP"),Tableau2[]),1,5)</f>
        <v>No value</v>
      </c>
      <c r="F62" s="199" t="str" cm="1">
        <f t="array" ref="F62">INDEX(_xlfn._xlws.FILTER(CapacityTable[], (CapacityTable[Model] = $D62) * (CapacityTable[T ext] = 7) * (CapacityTable[T water out] = 65) * (CapacityTable[Type] = "Best COP"),Tableau2[]),1,6)</f>
        <v>No value</v>
      </c>
      <c r="G62" s="199" t="str" cm="1">
        <f t="array" ref="G62">INDEX(_xlfn._xlws.FILTER(CapacityTable[], (CapacityTable[Model] = $D62) * (CapacityTable[T ext] = 7) * (CapacityTable[T water out] = 65) * (CapacityTable[Type] = "Best COP"),Tableau2[]),1,7)</f>
        <v>No value</v>
      </c>
      <c r="H62" s="200"/>
      <c r="I62" s="215"/>
    </row>
    <row r="63" spans="1:9" ht="15" customHeight="1" x14ac:dyDescent="0.25">
      <c r="A63" s="31"/>
      <c r="B63" s="31"/>
      <c r="C63" s="251" t="s">
        <v>59</v>
      </c>
      <c r="D63" s="195" t="s">
        <v>23</v>
      </c>
      <c r="E63" s="202" cm="1">
        <f t="array" ref="E63">INDEX(_xlfn._xlws.FILTER(CapacityTable[], (CapacityTable[Model] = $D63) * (CapacityTable[T ext] = 2) * (CapacityTable[T water out] = 65) * (CapacityTable[Type] = "Best COP"),Tableau2[]),1,5)</f>
        <v>4.8497041772793796</v>
      </c>
      <c r="F63" s="202" cm="1">
        <f t="array" ref="F63">INDEX(_xlfn._xlws.FILTER(CapacityTable[], (CapacityTable[Model] = $D63) * (CapacityTable[T ext] = 2) * (CapacityTable[T water out] = 65) * (CapacityTable[Type] = "Best COP"),Tableau2[]),1,6)</f>
        <v>2.3035595815847016</v>
      </c>
      <c r="G63" s="202" cm="1">
        <f t="array" ref="G63">INDEX(_xlfn._xlws.FILTER(CapacityTable[], (CapacityTable[Model] = $D63) * (CapacityTable[T ext] = 2) * (CapacityTable[T water out] = 65) * (CapacityTable[Type] = "Best COP"),Tableau2[]),1,7)</f>
        <v>2.1053087647696498</v>
      </c>
      <c r="H63" s="99" cm="1">
        <f t="array" ref="H63">INDEX(_xlfn._xlws.FILTER(CapacityTable[], (CapacityTable[Model] = $D63) * (CapacityTable[T ext] = 2) * (CapacityTable[T water out] = 65) * (CapacityTable[Type] = "Best COP"),Tableau2[]),1,8)*1000/60</f>
        <v>7.2</v>
      </c>
      <c r="I63" s="215" t="s">
        <v>48</v>
      </c>
    </row>
    <row r="64" spans="1:9" x14ac:dyDescent="0.25">
      <c r="A64" s="31"/>
      <c r="B64" s="31"/>
      <c r="C64" s="251"/>
      <c r="D64" s="192" t="s">
        <v>25</v>
      </c>
      <c r="E64" s="190" cm="1">
        <f t="array" ref="E64">INDEX(_xlfn._xlws.FILTER(CapacityTable[], (CapacityTable[Model] = $D64) * (CapacityTable[T ext] = 2) * (CapacityTable[T water out] = 65) * (CapacityTable[Type] = "Best COP"),Tableau2[]),1,5)</f>
        <v>6.6144714526166704</v>
      </c>
      <c r="F64" s="190" cm="1">
        <f t="array" ref="F64">INDEX(_xlfn._xlws.FILTER(CapacityTable[], (CapacityTable[Model] = $D64) * (CapacityTable[T ext] = 2) * (CapacityTable[T water out] = 65) * (CapacityTable[Type] = "Best COP"),Tableau2[]),1,6)</f>
        <v>3.0044158800885929</v>
      </c>
      <c r="G64" s="190" cm="1">
        <f t="array" ref="G64">INDEX(_xlfn._xlws.FILTER(CapacityTable[], (CapacityTable[Model] = $D64) * (CapacityTable[T ext] = 2) * (CapacityTable[T water out] = 65) * (CapacityTable[Type] = "Best COP"),Tableau2[]),1,7)</f>
        <v>2.2015831751034498</v>
      </c>
      <c r="H64" s="197" cm="1">
        <f t="array" ref="H64">INDEX(_xlfn._xlws.FILTER(CapacityTable[], (CapacityTable[Model] = $D64) * (CapacityTable[T ext] = 2) * (CapacityTable[T water out] = 65) * (CapacityTable[Type] = "Best COP"),Tableau2[]),1,8)*1000/60</f>
        <v>12.499999999999979</v>
      </c>
      <c r="I64" s="215" t="s">
        <v>48</v>
      </c>
    </row>
    <row r="65" spans="1:9" x14ac:dyDescent="0.25">
      <c r="A65" s="31"/>
      <c r="B65" s="31"/>
      <c r="C65" s="251"/>
      <c r="D65" s="193" t="s">
        <v>26</v>
      </c>
      <c r="E65" s="189" t="str" cm="1">
        <f t="array" ref="E65">INDEX(_xlfn._xlws.FILTER(CapacityTable[], (CapacityTable[Model] = $D65) * (CapacityTable[T ext] = 2) * (CapacityTable[T water out] = 65) * (CapacityTable[Type] = "Best COP"),Tableau2[]),1,5)</f>
        <v>No value</v>
      </c>
      <c r="F65" s="189" t="str" cm="1">
        <f t="array" ref="F65">INDEX(_xlfn._xlws.FILTER(CapacityTable[], (CapacityTable[Model] = $D65) * (CapacityTable[T ext] = 2) * (CapacityTable[T water out] = 65) * (CapacityTable[Type] = "Best COP"),Tableau2[]),1,6)</f>
        <v>No value</v>
      </c>
      <c r="G65" s="189" t="str" cm="1">
        <f t="array" ref="G65">INDEX(_xlfn._xlws.FILTER(CapacityTable[], (CapacityTable[Model] = $D65) * (CapacityTable[T ext] = 2) * (CapacityTable[T water out] = 65) * (CapacityTable[Type] = "Best COP"),Tableau2[]),1,7)</f>
        <v>No value</v>
      </c>
      <c r="H65" s="78"/>
      <c r="I65" s="215"/>
    </row>
    <row r="66" spans="1:9" ht="15.75" thickBot="1" x14ac:dyDescent="0.3">
      <c r="A66" s="31"/>
      <c r="B66" s="31"/>
      <c r="C66" s="252"/>
      <c r="D66" s="198" t="s">
        <v>27</v>
      </c>
      <c r="E66" s="199" t="str" cm="1">
        <f t="array" ref="E66">INDEX(_xlfn._xlws.FILTER(CapacityTable[], (CapacityTable[Model] = $D66) * (CapacityTable[T ext] = 2) * (CapacityTable[T water out] = 65) * (CapacityTable[Type] = "Best COP"),Tableau2[]),1,5)</f>
        <v>No value</v>
      </c>
      <c r="F66" s="199" t="str" cm="1">
        <f t="array" ref="F66">INDEX(_xlfn._xlws.FILTER(CapacityTable[], (CapacityTable[Model] = $D66) * (CapacityTable[T ext] = 2) * (CapacityTable[T water out] = 65) * (CapacityTable[Type] = "Best COP"),Tableau2[]),1,6)</f>
        <v>No value</v>
      </c>
      <c r="G66" s="199" t="str" cm="1">
        <f t="array" ref="G66">INDEX(_xlfn._xlws.FILTER(CapacityTable[], (CapacityTable[Model] = $D66) * (CapacityTable[T ext] = 2) * (CapacityTable[T water out] = 65) * (CapacityTable[Type] = "Best COP"),Tableau2[]),1,7)</f>
        <v>No value</v>
      </c>
      <c r="H66" s="200"/>
      <c r="I66" s="215"/>
    </row>
    <row r="67" spans="1:9" ht="15" customHeight="1" x14ac:dyDescent="0.25">
      <c r="A67" s="31"/>
      <c r="B67" s="31"/>
      <c r="C67" s="253" t="s">
        <v>60</v>
      </c>
      <c r="D67" s="195" t="s">
        <v>23</v>
      </c>
      <c r="E67" s="202" cm="1">
        <f t="array" ref="E67">INDEX(_xlfn._xlws.FILTER(CapacityTable[], (CapacityTable[Model] = $D67) * (CapacityTable[T ext] = -7) * (CapacityTable[T water out] = 65) * (CapacityTable[Type] = "Max power"),Tableau2[]),1,5)</f>
        <v>5.1637516627953701</v>
      </c>
      <c r="F67" s="202" cm="1">
        <f t="array" ref="F67">INDEX(_xlfn._xlws.FILTER(CapacityTable[], (CapacityTable[Model] = $D67) * (CapacityTable[T ext] = -7) * (CapacityTable[T water out] = 65) * (CapacityTable[Type] = "Max power"),Tableau2[]),1,6)</f>
        <v>2.8994456455733486</v>
      </c>
      <c r="G67" s="202" cm="1">
        <f t="array" ref="G67">INDEX(_xlfn._xlws.FILTER(CapacityTable[], (CapacityTable[Model] = $D67) * (CapacityTable[T ext] = -7) * (CapacityTable[T water out] = 65) * (CapacityTable[Type] = "Max power"),Tableau2[]),1,7)</f>
        <v>1.77409321005578</v>
      </c>
      <c r="H67" s="99"/>
      <c r="I67" s="215" t="s">
        <v>46</v>
      </c>
    </row>
    <row r="68" spans="1:9" x14ac:dyDescent="0.25">
      <c r="A68" s="31"/>
      <c r="B68" s="31"/>
      <c r="C68" s="253"/>
      <c r="D68" s="192" t="s">
        <v>25</v>
      </c>
      <c r="E68" s="190" cm="1">
        <f t="array" ref="E68">INDEX(_xlfn._xlws.FILTER(CapacityTable[], (CapacityTable[Model] = $D68) * (CapacityTable[T ext] = -7) * (CapacityTable[T water out] = 65) * (CapacityTable[Type] = "Max power"),Tableau2[]),1,5)</f>
        <v>7.91442400962422</v>
      </c>
      <c r="F68" s="190" cm="1">
        <f t="array" ref="F68">INDEX(_xlfn._xlws.FILTER(CapacityTable[], (CapacityTable[Model] = $D68) * (CapacityTable[T ext] = -7) * (CapacityTable[T water out] = 65) * (CapacityTable[Type] = "Max power"),Tableau2[]),1,6)</f>
        <v>4.2908437056252735</v>
      </c>
      <c r="G68" s="190" cm="1">
        <f t="array" ref="G68">INDEX(_xlfn._xlws.FILTER(CapacityTable[], (CapacityTable[Model] = $D68) * (CapacityTable[T ext] = -7) * (CapacityTable[T water out] = 65) * (CapacityTable[Type] = "Max power"),Tableau2[]),1,7)</f>
        <v>1.8444913291175</v>
      </c>
      <c r="H68" s="197"/>
      <c r="I68" s="215" t="s">
        <v>46</v>
      </c>
    </row>
    <row r="69" spans="1:9" x14ac:dyDescent="0.25">
      <c r="A69" s="31"/>
      <c r="B69" s="31"/>
      <c r="C69" s="253"/>
      <c r="D69" s="193" t="s">
        <v>26</v>
      </c>
      <c r="E69" s="189" t="str" cm="1">
        <f t="array" ref="E69">INDEX(_xlfn._xlws.FILTER(CapacityTable[], (CapacityTable[Model] = $D69) * (CapacityTable[T ext] = -7) * (CapacityTable[T water out] = 65) * (CapacityTable[Type] = "Max power"),Tableau2[]),1,5)</f>
        <v>No value</v>
      </c>
      <c r="F69" s="189" t="str" cm="1">
        <f t="array" ref="F69">INDEX(_xlfn._xlws.FILTER(CapacityTable[], (CapacityTable[Model] = $D69) * (CapacityTable[T ext] = -7) * (CapacityTable[T water out] = 65) * (CapacityTable[Type] = "Max power"),Tableau2[]),1,6)</f>
        <v>No value</v>
      </c>
      <c r="G69" s="189" t="str" cm="1">
        <f t="array" ref="G69">INDEX(_xlfn._xlws.FILTER(CapacityTable[], (CapacityTable[Model] = $D69) * (CapacityTable[T ext] = -7) * (CapacityTable[T water out] = 65) * (CapacityTable[Type] = "Max power"),Tableau2[]),1,7)</f>
        <v>No value</v>
      </c>
      <c r="H69" s="78"/>
      <c r="I69" s="215"/>
    </row>
    <row r="70" spans="1:9" ht="15.75" thickBot="1" x14ac:dyDescent="0.3">
      <c r="A70" s="31"/>
      <c r="B70" s="31"/>
      <c r="C70" s="254"/>
      <c r="D70" s="198" t="s">
        <v>27</v>
      </c>
      <c r="E70" s="199" t="str" cm="1">
        <f t="array" ref="E70">INDEX(_xlfn._xlws.FILTER(CapacityTable[], (CapacityTable[Model] = $D70) * (CapacityTable[T ext] = -7) * (CapacityTable[T water out] = 65) * (CapacityTable[Type] = "Max power"),Tableau2[]),1,5)</f>
        <v>No value</v>
      </c>
      <c r="F70" s="199" t="str" cm="1">
        <f t="array" ref="F70">INDEX(_xlfn._xlws.FILTER(CapacityTable[], (CapacityTable[Model] = $D70) * (CapacityTable[T ext] = -7) * (CapacityTable[T water out] = 65) * (CapacityTable[Type] = "Max power"),Tableau2[]),1,6)</f>
        <v>No value</v>
      </c>
      <c r="G70" s="199" t="str" cm="1">
        <f t="array" ref="G70">INDEX(_xlfn._xlws.FILTER(CapacityTable[], (CapacityTable[Model] = $D70) * (CapacityTable[T ext] = -7) * (CapacityTable[T water out] = 65) * (CapacityTable[Type] = "Max power"),Tableau2[]),1,7)</f>
        <v>No value</v>
      </c>
      <c r="H70" s="200"/>
      <c r="I70" s="215"/>
    </row>
    <row r="71" spans="1:9" ht="15" customHeight="1" x14ac:dyDescent="0.25">
      <c r="A71" s="31"/>
      <c r="B71" s="31"/>
      <c r="C71" s="251" t="s">
        <v>61</v>
      </c>
      <c r="D71" s="195" t="s">
        <v>23</v>
      </c>
      <c r="E71" s="202" cm="1">
        <f t="array" ref="E71">INDEX(_xlfn._xlws.FILTER(CapacityTable[], (CapacityTable[Model] = $D71) * (CapacityTable[T ext] = -10) * (CapacityTable[T water out] = 65) * (CapacityTable[Type] = "Max power"),Tableau2[]),1,5)</f>
        <v>4.7549536623328903</v>
      </c>
      <c r="F71" s="202" cm="1">
        <f t="array" ref="F71">INDEX(_xlfn._xlws.FILTER(CapacityTable[], (CapacityTable[Model] = $D71) * (CapacityTable[T ext] = -10) * (CapacityTable[T water out] = 65) * (CapacityTable[Type] = "Max power"),Tableau2[]),1,6)</f>
        <v>2.8161241867954532</v>
      </c>
      <c r="G71" s="202" cm="1">
        <f t="array" ref="G71">INDEX(_xlfn._xlws.FILTER(CapacityTable[], (CapacityTable[Model] = $D71) * (CapacityTable[T ext] = -10) * (CapacityTable[T water out] = 65) * (CapacityTable[Type] = "Max power"),Tableau2[]),1,7)</f>
        <v>1.68226622585319</v>
      </c>
      <c r="H71" s="99"/>
      <c r="I71" s="215" t="s">
        <v>46</v>
      </c>
    </row>
    <row r="72" spans="1:9" x14ac:dyDescent="0.25">
      <c r="A72" s="31"/>
      <c r="B72" s="31"/>
      <c r="C72" s="251"/>
      <c r="D72" s="192" t="s">
        <v>25</v>
      </c>
      <c r="E72" s="190" cm="1">
        <f t="array" ref="E72">INDEX(_xlfn._xlws.FILTER(CapacityTable[], (CapacityTable[Model] = $D72) * (CapacityTable[T ext] = -10) * (CapacityTable[T water out] = 65) * (CapacityTable[Type] = "Max power"),Tableau2[]),1,5)</f>
        <v>7.4550382463174101</v>
      </c>
      <c r="F72" s="190" cm="1">
        <f t="array" ref="F72">INDEX(_xlfn._xlws.FILTER(CapacityTable[], (CapacityTable[Model] = $D72) * (CapacityTable[T ext] = -10) * (CapacityTable[T water out] = 65) * (CapacityTable[Type] = "Max power"),Tableau2[]),1,6)</f>
        <v>4.1964318386111366</v>
      </c>
      <c r="G72" s="190" cm="1">
        <f t="array" ref="G72">INDEX(_xlfn._xlws.FILTER(CapacityTable[], (CapacityTable[Model] = $D72) * (CapacityTable[T ext] = -10) * (CapacityTable[T water out] = 65) * (CapacityTable[Type] = "Max power"),Tableau2[]),1,7)</f>
        <v>1.7765183691830799</v>
      </c>
      <c r="H72" s="197"/>
      <c r="I72" s="215" t="s">
        <v>46</v>
      </c>
    </row>
    <row r="73" spans="1:9" x14ac:dyDescent="0.25">
      <c r="A73" s="31"/>
      <c r="B73" s="31"/>
      <c r="C73" s="251"/>
      <c r="D73" s="193" t="s">
        <v>26</v>
      </c>
      <c r="E73" s="189" t="str" cm="1">
        <f t="array" ref="E73">INDEX(_xlfn._xlws.FILTER(CapacityTable[], (CapacityTable[Model] = $D73) * (CapacityTable[T ext] = -10) * (CapacityTable[T water out] = 65) * (CapacityTable[Type] = "Max power"),Tableau2[]),1,5)</f>
        <v>No value</v>
      </c>
      <c r="F73" s="189" t="str" cm="1">
        <f t="array" ref="F73">INDEX(_xlfn._xlws.FILTER(CapacityTable[], (CapacityTable[Model] = $D73) * (CapacityTable[T ext] = -10) * (CapacityTable[T water out] = 65) * (CapacityTable[Type] = "Max power"),Tableau2[]),1,6)</f>
        <v>No value</v>
      </c>
      <c r="G73" s="189" t="str" cm="1">
        <f t="array" ref="G73">INDEX(_xlfn._xlws.FILTER(CapacityTable[], (CapacityTable[Model] = $D73) * (CapacityTable[T ext] = -10) * (CapacityTable[T water out] = 65) * (CapacityTable[Type] = "Max power"),Tableau2[]),1,7)</f>
        <v>No value</v>
      </c>
      <c r="H73" s="78"/>
      <c r="I73" s="215"/>
    </row>
    <row r="74" spans="1:9" ht="15.75" thickBot="1" x14ac:dyDescent="0.3">
      <c r="A74" s="31"/>
      <c r="B74" s="31"/>
      <c r="C74" s="252"/>
      <c r="D74" s="198" t="s">
        <v>27</v>
      </c>
      <c r="E74" s="199" t="str" cm="1">
        <f t="array" ref="E74">INDEX(_xlfn._xlws.FILTER(CapacityTable[], (CapacityTable[Model] = $D74) * (CapacityTable[T ext] = -10) * (CapacityTable[T water out] = 65) * (CapacityTable[Type] = "Max power"),Tableau2[]),1,5)</f>
        <v>No value</v>
      </c>
      <c r="F74" s="199" t="str" cm="1">
        <f t="array" ref="F74">INDEX(_xlfn._xlws.FILTER(CapacityTable[], (CapacityTable[Model] = $D74) * (CapacityTable[T ext] = -10) * (CapacityTable[T water out] = 65) * (CapacityTable[Type] = "Max power"),Tableau2[]),1,6)</f>
        <v>No value</v>
      </c>
      <c r="G74" s="199" t="str" cm="1">
        <f t="array" ref="G74">INDEX(_xlfn._xlws.FILTER(CapacityTable[], (CapacityTable[Model] = $D74) * (CapacityTable[T ext] = -10) * (CapacityTable[T water out] = 65) * (CapacityTable[Type] = "Max power"),Tableau2[]),1,7)</f>
        <v>No value</v>
      </c>
      <c r="H74" s="200"/>
      <c r="I74" s="215"/>
    </row>
    <row r="75" spans="1:9" x14ac:dyDescent="0.25">
      <c r="C75" s="4"/>
      <c r="D75" s="4"/>
      <c r="E75" s="124"/>
      <c r="F75" s="124"/>
      <c r="G75" s="124"/>
      <c r="H75" s="4"/>
    </row>
  </sheetData>
  <mergeCells count="18">
    <mergeCell ref="C3:C6"/>
    <mergeCell ref="C7:C10"/>
    <mergeCell ref="C11:C14"/>
    <mergeCell ref="C15:C18"/>
    <mergeCell ref="C19:C22"/>
    <mergeCell ref="C63:C66"/>
    <mergeCell ref="C67:C70"/>
    <mergeCell ref="C71:C74"/>
    <mergeCell ref="C39:C42"/>
    <mergeCell ref="C23:C26"/>
    <mergeCell ref="C55:C58"/>
    <mergeCell ref="C59:C62"/>
    <mergeCell ref="C31:C34"/>
    <mergeCell ref="C35:C38"/>
    <mergeCell ref="C43:C46"/>
    <mergeCell ref="C47:C50"/>
    <mergeCell ref="C51:C54"/>
    <mergeCell ref="C27:C30"/>
  </mergeCells>
  <hyperlinks>
    <hyperlink ref="I51" r:id="rId1" xr:uid="{F6581A34-3C01-463B-8AEE-EBB40296D75D}"/>
    <hyperlink ref="I52" r:id="rId2" xr:uid="{2D3E5975-F1A4-4B8F-A147-43FC0D5C98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83F8-D5DE-402C-94F0-6904E5F27AED}">
  <dimension ref="B1:I171"/>
  <sheetViews>
    <sheetView workbookViewId="0">
      <pane ySplit="3" topLeftCell="A58" activePane="bottomLeft" state="frozen"/>
      <selection pane="bottomLeft" activeCell="C89" sqref="C89"/>
    </sheetView>
  </sheetViews>
  <sheetFormatPr defaultColWidth="10.85546875" defaultRowHeight="15" x14ac:dyDescent="0.25"/>
  <cols>
    <col min="1" max="1" width="2.5703125" style="1" customWidth="1"/>
    <col min="2" max="2" width="31.85546875" style="1" customWidth="1"/>
    <col min="3" max="3" width="42.5703125" style="1" bestFit="1" customWidth="1"/>
    <col min="4" max="4" width="9.42578125" style="2" customWidth="1"/>
    <col min="5" max="8" width="14.5703125" style="1" customWidth="1"/>
    <col min="9" max="16384" width="10.85546875" style="1"/>
  </cols>
  <sheetData>
    <row r="1" spans="2:9" x14ac:dyDescent="0.25">
      <c r="E1" s="55" t="s">
        <v>62</v>
      </c>
    </row>
    <row r="2" spans="2:9" ht="28.5" x14ac:dyDescent="0.45">
      <c r="B2" s="19" t="s">
        <v>63</v>
      </c>
      <c r="E2" s="25"/>
      <c r="F2" s="25"/>
      <c r="G2" s="25"/>
      <c r="H2" s="25"/>
    </row>
    <row r="3" spans="2:9" ht="30" x14ac:dyDescent="0.25">
      <c r="B3" s="265" t="s">
        <v>64</v>
      </c>
      <c r="C3" s="266"/>
      <c r="D3" s="20" t="s">
        <v>9</v>
      </c>
      <c r="E3" s="26" t="s">
        <v>23</v>
      </c>
      <c r="F3" s="26" t="s">
        <v>25</v>
      </c>
      <c r="G3" s="26" t="s">
        <v>26</v>
      </c>
      <c r="H3" s="26" t="s">
        <v>27</v>
      </c>
      <c r="I3" s="23"/>
    </row>
    <row r="4" spans="2:9" x14ac:dyDescent="0.25">
      <c r="B4" s="262" t="s">
        <v>65</v>
      </c>
      <c r="C4" s="16" t="s">
        <v>66</v>
      </c>
      <c r="D4" s="21" t="s">
        <v>19</v>
      </c>
      <c r="E4" s="26">
        <v>46</v>
      </c>
      <c r="F4" s="26">
        <v>48</v>
      </c>
      <c r="G4" s="26"/>
      <c r="H4" s="26"/>
      <c r="I4" s="23"/>
    </row>
    <row r="5" spans="2:9" x14ac:dyDescent="0.25">
      <c r="B5" s="264"/>
      <c r="C5" s="16" t="s">
        <v>67</v>
      </c>
      <c r="D5" s="21" t="s">
        <v>19</v>
      </c>
      <c r="E5" s="56">
        <v>46</v>
      </c>
      <c r="F5" s="56">
        <v>48</v>
      </c>
      <c r="G5" s="26"/>
      <c r="H5" s="26"/>
      <c r="I5" s="23"/>
    </row>
    <row r="6" spans="2:9" s="15" customFormat="1" ht="30" x14ac:dyDescent="0.25">
      <c r="B6" s="17" t="s">
        <v>68</v>
      </c>
      <c r="C6" s="18" t="s">
        <v>69</v>
      </c>
      <c r="D6" s="22" t="s">
        <v>70</v>
      </c>
      <c r="E6" s="26">
        <v>0</v>
      </c>
      <c r="F6" s="26">
        <v>0</v>
      </c>
      <c r="G6" s="26"/>
      <c r="H6" s="26"/>
      <c r="I6" s="24"/>
    </row>
    <row r="7" spans="2:9" x14ac:dyDescent="0.25">
      <c r="B7" s="16" t="s">
        <v>71</v>
      </c>
      <c r="C7" s="16" t="s">
        <v>72</v>
      </c>
      <c r="D7" s="21" t="s">
        <v>18</v>
      </c>
      <c r="E7" s="26" t="s">
        <v>29</v>
      </c>
      <c r="F7" s="26" t="s">
        <v>29</v>
      </c>
      <c r="G7" s="26"/>
      <c r="H7" s="26"/>
      <c r="I7" s="23"/>
    </row>
    <row r="8" spans="2:9" x14ac:dyDescent="0.25">
      <c r="B8" s="16" t="s">
        <v>71</v>
      </c>
      <c r="C8" s="16" t="s">
        <v>73</v>
      </c>
      <c r="D8" s="21" t="s">
        <v>18</v>
      </c>
      <c r="E8" s="26" t="s">
        <v>24</v>
      </c>
      <c r="F8" s="26" t="s">
        <v>24</v>
      </c>
      <c r="G8" s="26"/>
      <c r="H8" s="26"/>
      <c r="I8" s="23"/>
    </row>
    <row r="9" spans="2:9" x14ac:dyDescent="0.25">
      <c r="B9" s="267" t="s">
        <v>74</v>
      </c>
      <c r="C9" s="268"/>
      <c r="D9" s="268"/>
      <c r="E9" s="269"/>
      <c r="F9" s="269"/>
      <c r="G9" s="269"/>
      <c r="H9" s="270"/>
      <c r="I9" s="23"/>
    </row>
    <row r="10" spans="2:9" x14ac:dyDescent="0.25">
      <c r="B10" s="262" t="s">
        <v>75</v>
      </c>
      <c r="C10" s="16" t="s">
        <v>76</v>
      </c>
      <c r="D10" s="21" t="s">
        <v>70</v>
      </c>
      <c r="E10" s="56">
        <v>6</v>
      </c>
      <c r="F10" s="56">
        <v>9</v>
      </c>
      <c r="G10" s="26"/>
      <c r="H10" s="26"/>
      <c r="I10" s="23"/>
    </row>
    <row r="11" spans="2:9" x14ac:dyDescent="0.25">
      <c r="B11" s="263"/>
      <c r="C11" s="16" t="s">
        <v>77</v>
      </c>
      <c r="D11" s="21" t="s">
        <v>78</v>
      </c>
      <c r="E11" s="56">
        <v>197</v>
      </c>
      <c r="F11" s="56">
        <v>200</v>
      </c>
      <c r="G11" s="26"/>
      <c r="H11" s="26"/>
      <c r="I11" s="23"/>
    </row>
    <row r="12" spans="2:9" x14ac:dyDescent="0.25">
      <c r="B12" s="264"/>
      <c r="C12" s="16" t="s">
        <v>79</v>
      </c>
      <c r="D12" s="21" t="s">
        <v>80</v>
      </c>
      <c r="E12" s="57">
        <v>2482</v>
      </c>
      <c r="F12" s="57">
        <v>3668</v>
      </c>
      <c r="G12" s="26"/>
      <c r="H12" s="26"/>
      <c r="I12" s="23"/>
    </row>
    <row r="13" spans="2:9" x14ac:dyDescent="0.25">
      <c r="B13" s="262" t="s">
        <v>81</v>
      </c>
      <c r="C13" s="16" t="s">
        <v>76</v>
      </c>
      <c r="D13" s="21" t="s">
        <v>70</v>
      </c>
      <c r="E13" s="56">
        <v>6</v>
      </c>
      <c r="F13" s="56">
        <v>9</v>
      </c>
      <c r="G13" s="26"/>
      <c r="H13" s="26"/>
      <c r="I13" s="23"/>
    </row>
    <row r="14" spans="2:9" x14ac:dyDescent="0.25">
      <c r="B14" s="263"/>
      <c r="C14" s="16" t="s">
        <v>77</v>
      </c>
      <c r="D14" s="21" t="s">
        <v>78</v>
      </c>
      <c r="E14" s="56">
        <v>146</v>
      </c>
      <c r="F14" s="56">
        <v>148</v>
      </c>
      <c r="G14" s="26"/>
      <c r="H14" s="26"/>
      <c r="I14" s="23"/>
    </row>
    <row r="15" spans="2:9" x14ac:dyDescent="0.25">
      <c r="B15" s="264"/>
      <c r="C15" s="16" t="s">
        <v>79</v>
      </c>
      <c r="D15" s="21" t="s">
        <v>80</v>
      </c>
      <c r="E15" s="57">
        <v>3336</v>
      </c>
      <c r="F15" s="57">
        <v>4937</v>
      </c>
      <c r="G15" s="26"/>
      <c r="H15" s="26"/>
      <c r="I15" s="23"/>
    </row>
    <row r="16" spans="2:9" x14ac:dyDescent="0.25">
      <c r="B16" s="267" t="s">
        <v>82</v>
      </c>
      <c r="C16" s="268"/>
      <c r="D16" s="268"/>
      <c r="E16" s="269"/>
      <c r="F16" s="269"/>
      <c r="G16" s="269"/>
      <c r="H16" s="270"/>
      <c r="I16" s="23"/>
    </row>
    <row r="17" spans="2:9" x14ac:dyDescent="0.25">
      <c r="B17" s="262" t="s">
        <v>83</v>
      </c>
      <c r="C17" s="16" t="s">
        <v>84</v>
      </c>
      <c r="D17" s="21" t="s">
        <v>70</v>
      </c>
      <c r="E17" s="58">
        <v>5.15</v>
      </c>
      <c r="F17" s="58">
        <v>7.52</v>
      </c>
      <c r="G17" s="27"/>
      <c r="H17" s="27"/>
      <c r="I17" s="23"/>
    </row>
    <row r="18" spans="2:9" x14ac:dyDescent="0.25">
      <c r="B18" s="263"/>
      <c r="C18" s="16" t="s">
        <v>85</v>
      </c>
      <c r="D18" s="21" t="s">
        <v>18</v>
      </c>
      <c r="E18" s="58">
        <v>2.94</v>
      </c>
      <c r="F18" s="58">
        <v>3.11</v>
      </c>
      <c r="G18" s="27"/>
      <c r="H18" s="27"/>
      <c r="I18" s="23"/>
    </row>
    <row r="19" spans="2:9" x14ac:dyDescent="0.25">
      <c r="B19" s="264"/>
      <c r="C19" s="16" t="s">
        <v>86</v>
      </c>
      <c r="D19" s="21" t="s">
        <v>18</v>
      </c>
      <c r="E19" s="58">
        <v>0.99</v>
      </c>
      <c r="F19" s="58">
        <v>0.99</v>
      </c>
      <c r="G19" s="27"/>
      <c r="H19" s="27"/>
      <c r="I19" s="23"/>
    </row>
    <row r="20" spans="2:9" x14ac:dyDescent="0.25">
      <c r="B20" s="262" t="s">
        <v>87</v>
      </c>
      <c r="C20" s="16" t="s">
        <v>84</v>
      </c>
      <c r="D20" s="21" t="s">
        <v>70</v>
      </c>
      <c r="E20" s="58">
        <v>3.19</v>
      </c>
      <c r="F20" s="58">
        <v>4.6900000000000004</v>
      </c>
      <c r="G20" s="27"/>
      <c r="H20" s="27"/>
      <c r="I20" s="23"/>
    </row>
    <row r="21" spans="2:9" x14ac:dyDescent="0.25">
      <c r="B21" s="263"/>
      <c r="C21" s="16" t="s">
        <v>85</v>
      </c>
      <c r="D21" s="21" t="s">
        <v>18</v>
      </c>
      <c r="E21" s="58">
        <v>5.03</v>
      </c>
      <c r="F21" s="58">
        <v>5.0999999999999996</v>
      </c>
      <c r="G21" s="27"/>
      <c r="H21" s="27"/>
      <c r="I21" s="23"/>
    </row>
    <row r="22" spans="2:9" x14ac:dyDescent="0.25">
      <c r="B22" s="264"/>
      <c r="C22" s="16" t="s">
        <v>86</v>
      </c>
      <c r="D22" s="21" t="s">
        <v>18</v>
      </c>
      <c r="E22" s="58">
        <v>0.98</v>
      </c>
      <c r="F22" s="58">
        <v>0.99</v>
      </c>
      <c r="G22" s="27"/>
      <c r="H22" s="27"/>
      <c r="I22" s="23"/>
    </row>
    <row r="23" spans="2:9" x14ac:dyDescent="0.25">
      <c r="B23" s="262" t="s">
        <v>88</v>
      </c>
      <c r="C23" s="16" t="s">
        <v>84</v>
      </c>
      <c r="D23" s="21" t="s">
        <v>70</v>
      </c>
      <c r="E23" s="58">
        <v>2.09</v>
      </c>
      <c r="F23" s="58">
        <v>3.2</v>
      </c>
      <c r="G23" s="27"/>
      <c r="H23" s="27"/>
      <c r="I23" s="23"/>
    </row>
    <row r="24" spans="2:9" x14ac:dyDescent="0.25">
      <c r="B24" s="263"/>
      <c r="C24" s="16" t="s">
        <v>85</v>
      </c>
      <c r="D24" s="21" t="s">
        <v>18</v>
      </c>
      <c r="E24" s="58">
        <v>6.45</v>
      </c>
      <c r="F24" s="58">
        <v>6.44</v>
      </c>
      <c r="G24" s="27"/>
      <c r="H24" s="27"/>
      <c r="I24" s="23"/>
    </row>
    <row r="25" spans="2:9" x14ac:dyDescent="0.25">
      <c r="B25" s="264"/>
      <c r="C25" s="16" t="s">
        <v>86</v>
      </c>
      <c r="D25" s="21" t="s">
        <v>18</v>
      </c>
      <c r="E25" s="58">
        <v>0.96</v>
      </c>
      <c r="F25" s="58">
        <v>0.97</v>
      </c>
      <c r="G25" s="27"/>
      <c r="H25" s="27"/>
      <c r="I25" s="23"/>
    </row>
    <row r="26" spans="2:9" x14ac:dyDescent="0.25">
      <c r="B26" s="262" t="s">
        <v>89</v>
      </c>
      <c r="C26" s="16" t="s">
        <v>84</v>
      </c>
      <c r="D26" s="21" t="s">
        <v>70</v>
      </c>
      <c r="E26" s="58">
        <v>2.17</v>
      </c>
      <c r="F26" s="58">
        <v>3.45</v>
      </c>
      <c r="G26" s="27"/>
      <c r="H26" s="27"/>
      <c r="I26" s="23"/>
    </row>
    <row r="27" spans="2:9" x14ac:dyDescent="0.25">
      <c r="B27" s="263"/>
      <c r="C27" s="16" t="s">
        <v>85</v>
      </c>
      <c r="D27" s="21" t="s">
        <v>18</v>
      </c>
      <c r="E27" s="58">
        <v>8.02</v>
      </c>
      <c r="F27" s="58">
        <v>7.8</v>
      </c>
      <c r="G27" s="27"/>
      <c r="H27" s="27"/>
      <c r="I27" s="23"/>
    </row>
    <row r="28" spans="2:9" x14ac:dyDescent="0.25">
      <c r="B28" s="264"/>
      <c r="C28" s="16" t="s">
        <v>86</v>
      </c>
      <c r="D28" s="21" t="s">
        <v>18</v>
      </c>
      <c r="E28" s="58">
        <v>0.95</v>
      </c>
      <c r="F28" s="58">
        <v>0.97</v>
      </c>
      <c r="G28" s="27"/>
      <c r="H28" s="27"/>
      <c r="I28" s="23"/>
    </row>
    <row r="29" spans="2:9" x14ac:dyDescent="0.25">
      <c r="B29" s="262" t="s">
        <v>90</v>
      </c>
      <c r="C29" s="16" t="s">
        <v>91</v>
      </c>
      <c r="D29" s="21" t="s">
        <v>92</v>
      </c>
      <c r="E29" s="58">
        <v>-10</v>
      </c>
      <c r="F29" s="58">
        <v>-10</v>
      </c>
      <c r="G29" s="27"/>
      <c r="H29" s="27"/>
      <c r="I29" s="23"/>
    </row>
    <row r="30" spans="2:9" x14ac:dyDescent="0.25">
      <c r="B30" s="263"/>
      <c r="C30" s="16" t="s">
        <v>84</v>
      </c>
      <c r="D30" s="21" t="s">
        <v>70</v>
      </c>
      <c r="E30" s="58">
        <v>5.2</v>
      </c>
      <c r="F30" s="58">
        <v>7.87</v>
      </c>
      <c r="G30" s="27"/>
      <c r="H30" s="27"/>
      <c r="I30" s="23"/>
    </row>
    <row r="31" spans="2:9" x14ac:dyDescent="0.25">
      <c r="B31" s="263"/>
      <c r="C31" s="16" t="s">
        <v>85</v>
      </c>
      <c r="D31" s="21" t="s">
        <v>18</v>
      </c>
      <c r="E31" s="58">
        <v>2.76</v>
      </c>
      <c r="F31" s="58">
        <v>2.66</v>
      </c>
      <c r="G31" s="27"/>
      <c r="H31" s="27"/>
      <c r="I31" s="23"/>
    </row>
    <row r="32" spans="2:9" x14ac:dyDescent="0.25">
      <c r="B32" s="264"/>
      <c r="C32" s="16" t="s">
        <v>93</v>
      </c>
      <c r="D32" s="21" t="s">
        <v>92</v>
      </c>
      <c r="E32" s="26">
        <v>70</v>
      </c>
      <c r="F32" s="26">
        <v>70</v>
      </c>
      <c r="G32" s="26"/>
      <c r="H32" s="26"/>
      <c r="I32" s="23"/>
    </row>
    <row r="33" spans="2:8" x14ac:dyDescent="0.25">
      <c r="B33" s="262" t="s">
        <v>94</v>
      </c>
      <c r="C33" s="16" t="s">
        <v>95</v>
      </c>
      <c r="D33" s="21" t="s">
        <v>92</v>
      </c>
      <c r="E33" s="58">
        <v>-8</v>
      </c>
      <c r="F33" s="58">
        <v>-8</v>
      </c>
      <c r="G33" s="27"/>
      <c r="H33" s="27"/>
    </row>
    <row r="34" spans="2:8" x14ac:dyDescent="0.25">
      <c r="B34" s="263"/>
      <c r="C34" s="16" t="s">
        <v>84</v>
      </c>
      <c r="D34" s="21" t="s">
        <v>70</v>
      </c>
      <c r="E34" s="58">
        <v>5.63</v>
      </c>
      <c r="F34" s="58">
        <v>8.57</v>
      </c>
      <c r="G34" s="27"/>
      <c r="H34" s="27"/>
    </row>
    <row r="35" spans="2:8" x14ac:dyDescent="0.25">
      <c r="B35" s="264"/>
      <c r="C35" s="16" t="s">
        <v>85</v>
      </c>
      <c r="D35" s="21" t="s">
        <v>18</v>
      </c>
      <c r="E35" s="58">
        <v>2.88</v>
      </c>
      <c r="F35" s="58">
        <v>2.89</v>
      </c>
      <c r="G35" s="27"/>
      <c r="H35" s="27"/>
    </row>
    <row r="36" spans="2:8" ht="30" x14ac:dyDescent="0.25">
      <c r="B36" s="17" t="s">
        <v>96</v>
      </c>
      <c r="C36" s="18" t="s">
        <v>97</v>
      </c>
      <c r="D36" s="22" t="s">
        <v>70</v>
      </c>
      <c r="E36" s="58">
        <v>0.8</v>
      </c>
      <c r="F36" s="58">
        <v>1.1299999999999999</v>
      </c>
      <c r="G36" s="27"/>
      <c r="H36" s="27"/>
    </row>
    <row r="37" spans="2:8" x14ac:dyDescent="0.25">
      <c r="B37" s="267" t="s">
        <v>98</v>
      </c>
      <c r="C37" s="268"/>
      <c r="D37" s="268"/>
      <c r="E37" s="269"/>
      <c r="F37" s="269"/>
      <c r="G37" s="269"/>
      <c r="H37" s="270"/>
    </row>
    <row r="38" spans="2:8" x14ac:dyDescent="0.25">
      <c r="B38" s="262" t="s">
        <v>83</v>
      </c>
      <c r="C38" s="16" t="s">
        <v>84</v>
      </c>
      <c r="D38" s="21" t="s">
        <v>70</v>
      </c>
      <c r="E38" s="58">
        <v>5.3</v>
      </c>
      <c r="F38" s="58">
        <v>7.83</v>
      </c>
      <c r="G38" s="27"/>
      <c r="H38" s="27"/>
    </row>
    <row r="39" spans="2:8" x14ac:dyDescent="0.25">
      <c r="B39" s="263"/>
      <c r="C39" s="16" t="s">
        <v>85</v>
      </c>
      <c r="D39" s="21" t="s">
        <v>18</v>
      </c>
      <c r="E39" s="58">
        <v>2.1800000000000002</v>
      </c>
      <c r="F39" s="58">
        <v>2.38</v>
      </c>
      <c r="G39" s="27"/>
      <c r="H39" s="27"/>
    </row>
    <row r="40" spans="2:8" x14ac:dyDescent="0.25">
      <c r="B40" s="264"/>
      <c r="C40" s="16" t="s">
        <v>86</v>
      </c>
      <c r="D40" s="21" t="s">
        <v>18</v>
      </c>
      <c r="E40" s="58">
        <v>0.99</v>
      </c>
      <c r="F40" s="58">
        <v>1</v>
      </c>
      <c r="G40" s="27"/>
      <c r="H40" s="27"/>
    </row>
    <row r="41" spans="2:8" x14ac:dyDescent="0.25">
      <c r="B41" s="262" t="s">
        <v>87</v>
      </c>
      <c r="C41" s="16" t="s">
        <v>84</v>
      </c>
      <c r="D41" s="21" t="s">
        <v>70</v>
      </c>
      <c r="E41" s="58">
        <v>3.29</v>
      </c>
      <c r="F41" s="58">
        <v>4.72</v>
      </c>
      <c r="G41" s="27"/>
      <c r="H41" s="27"/>
    </row>
    <row r="42" spans="2:8" x14ac:dyDescent="0.25">
      <c r="B42" s="263"/>
      <c r="C42" s="16" t="s">
        <v>85</v>
      </c>
      <c r="D42" s="21" t="s">
        <v>18</v>
      </c>
      <c r="E42" s="58">
        <v>3.65</v>
      </c>
      <c r="F42" s="58">
        <v>3.68</v>
      </c>
      <c r="G42" s="27"/>
      <c r="H42" s="27"/>
    </row>
    <row r="43" spans="2:8" x14ac:dyDescent="0.25">
      <c r="B43" s="264"/>
      <c r="C43" s="16" t="s">
        <v>86</v>
      </c>
      <c r="D43" s="21" t="s">
        <v>18</v>
      </c>
      <c r="E43" s="58">
        <v>0.98</v>
      </c>
      <c r="F43" s="58">
        <v>0.99</v>
      </c>
      <c r="G43" s="27"/>
      <c r="H43" s="27"/>
    </row>
    <row r="44" spans="2:8" x14ac:dyDescent="0.25">
      <c r="B44" s="262" t="s">
        <v>88</v>
      </c>
      <c r="C44" s="16" t="s">
        <v>84</v>
      </c>
      <c r="D44" s="21" t="s">
        <v>70</v>
      </c>
      <c r="E44" s="58">
        <v>2.0699999999999998</v>
      </c>
      <c r="F44" s="58">
        <v>3.2</v>
      </c>
      <c r="G44" s="27"/>
      <c r="H44" s="27"/>
    </row>
    <row r="45" spans="2:8" x14ac:dyDescent="0.25">
      <c r="B45" s="263"/>
      <c r="C45" s="16" t="s">
        <v>85</v>
      </c>
      <c r="D45" s="21" t="s">
        <v>18</v>
      </c>
      <c r="E45" s="58">
        <v>4.99</v>
      </c>
      <c r="F45" s="58">
        <v>4.8899999999999997</v>
      </c>
      <c r="G45" s="27"/>
      <c r="H45" s="27"/>
    </row>
    <row r="46" spans="2:8" x14ac:dyDescent="0.25">
      <c r="B46" s="264"/>
      <c r="C46" s="16" t="s">
        <v>86</v>
      </c>
      <c r="D46" s="21" t="s">
        <v>18</v>
      </c>
      <c r="E46" s="58">
        <v>0.97</v>
      </c>
      <c r="F46" s="58">
        <v>0.98</v>
      </c>
      <c r="G46" s="27"/>
      <c r="H46" s="27"/>
    </row>
    <row r="47" spans="2:8" x14ac:dyDescent="0.25">
      <c r="B47" s="262" t="s">
        <v>89</v>
      </c>
      <c r="C47" s="16" t="s">
        <v>84</v>
      </c>
      <c r="D47" s="21" t="s">
        <v>70</v>
      </c>
      <c r="E47" s="58">
        <v>2.12</v>
      </c>
      <c r="F47" s="58">
        <v>3.24</v>
      </c>
      <c r="G47" s="27"/>
      <c r="H47" s="27"/>
    </row>
    <row r="48" spans="2:8" x14ac:dyDescent="0.25">
      <c r="B48" s="263"/>
      <c r="C48" s="16" t="s">
        <v>85</v>
      </c>
      <c r="D48" s="21" t="s">
        <v>18</v>
      </c>
      <c r="E48" s="58">
        <v>6.31</v>
      </c>
      <c r="F48" s="58">
        <v>5.97</v>
      </c>
      <c r="G48" s="27"/>
      <c r="H48" s="27"/>
    </row>
    <row r="49" spans="2:8" x14ac:dyDescent="0.25">
      <c r="B49" s="264"/>
      <c r="C49" s="16" t="s">
        <v>86</v>
      </c>
      <c r="D49" s="21" t="s">
        <v>18</v>
      </c>
      <c r="E49" s="58">
        <v>0.96</v>
      </c>
      <c r="F49" s="58">
        <v>0.98</v>
      </c>
      <c r="G49" s="27"/>
      <c r="H49" s="27"/>
    </row>
    <row r="50" spans="2:8" x14ac:dyDescent="0.25">
      <c r="B50" s="262" t="s">
        <v>90</v>
      </c>
      <c r="C50" s="16" t="s">
        <v>91</v>
      </c>
      <c r="D50" s="21" t="s">
        <v>92</v>
      </c>
      <c r="E50" s="58">
        <v>-10</v>
      </c>
      <c r="F50" s="58">
        <v>-10</v>
      </c>
      <c r="G50" s="27"/>
      <c r="H50" s="27"/>
    </row>
    <row r="51" spans="2:8" x14ac:dyDescent="0.25">
      <c r="B51" s="263"/>
      <c r="C51" s="16" t="s">
        <v>84</v>
      </c>
      <c r="D51" s="21" t="s">
        <v>70</v>
      </c>
      <c r="E51" s="58">
        <v>4.99</v>
      </c>
      <c r="F51" s="58">
        <v>7.26</v>
      </c>
      <c r="G51" s="27"/>
      <c r="H51" s="27"/>
    </row>
    <row r="52" spans="2:8" x14ac:dyDescent="0.25">
      <c r="B52" s="263"/>
      <c r="C52" s="16" t="s">
        <v>85</v>
      </c>
      <c r="D52" s="21" t="s">
        <v>18</v>
      </c>
      <c r="E52" s="58">
        <v>1.97</v>
      </c>
      <c r="F52" s="58">
        <v>2.02</v>
      </c>
      <c r="G52" s="27"/>
      <c r="H52" s="27"/>
    </row>
    <row r="53" spans="2:8" x14ac:dyDescent="0.25">
      <c r="B53" s="264"/>
      <c r="C53" s="16" t="s">
        <v>93</v>
      </c>
      <c r="D53" s="21" t="s">
        <v>92</v>
      </c>
      <c r="E53" s="27">
        <v>70</v>
      </c>
      <c r="F53" s="27">
        <v>70</v>
      </c>
      <c r="G53" s="26"/>
      <c r="H53" s="26"/>
    </row>
    <row r="54" spans="2:8" x14ac:dyDescent="0.25">
      <c r="B54" s="262" t="s">
        <v>94</v>
      </c>
      <c r="C54" s="16" t="s">
        <v>95</v>
      </c>
      <c r="D54" s="21" t="s">
        <v>92</v>
      </c>
      <c r="E54" s="58">
        <v>-8</v>
      </c>
      <c r="F54" s="58">
        <v>-8</v>
      </c>
      <c r="G54" s="27"/>
      <c r="H54" s="27"/>
    </row>
    <row r="55" spans="2:8" x14ac:dyDescent="0.25">
      <c r="B55" s="263"/>
      <c r="C55" s="16" t="s">
        <v>84</v>
      </c>
      <c r="D55" s="21" t="s">
        <v>70</v>
      </c>
      <c r="E55" s="58">
        <v>5.33</v>
      </c>
      <c r="F55" s="58">
        <v>8.11</v>
      </c>
      <c r="G55" s="27"/>
      <c r="H55" s="27"/>
    </row>
    <row r="56" spans="2:8" x14ac:dyDescent="0.25">
      <c r="B56" s="264"/>
      <c r="C56" s="16" t="s">
        <v>85</v>
      </c>
      <c r="D56" s="21" t="s">
        <v>18</v>
      </c>
      <c r="E56" s="58">
        <v>2.1</v>
      </c>
      <c r="F56" s="58">
        <v>2.25</v>
      </c>
      <c r="G56" s="27"/>
      <c r="H56" s="27"/>
    </row>
    <row r="57" spans="2:8" ht="30" x14ac:dyDescent="0.25">
      <c r="B57" s="17" t="s">
        <v>96</v>
      </c>
      <c r="C57" s="18" t="s">
        <v>97</v>
      </c>
      <c r="D57" s="22" t="s">
        <v>70</v>
      </c>
      <c r="E57" s="58">
        <v>1.01</v>
      </c>
      <c r="F57" s="58">
        <v>1.74</v>
      </c>
      <c r="G57" s="27"/>
      <c r="H57" s="27"/>
    </row>
    <row r="58" spans="2:8" x14ac:dyDescent="0.25">
      <c r="B58" s="267" t="s">
        <v>99</v>
      </c>
      <c r="C58" s="268"/>
      <c r="D58" s="268"/>
      <c r="E58" s="269"/>
      <c r="F58" s="269"/>
      <c r="G58" s="269"/>
      <c r="H58" s="270"/>
    </row>
    <row r="59" spans="2:8" x14ac:dyDescent="0.25">
      <c r="B59" s="262" t="s">
        <v>75</v>
      </c>
      <c r="C59" s="16" t="s">
        <v>100</v>
      </c>
      <c r="D59" s="21" t="s">
        <v>70</v>
      </c>
      <c r="E59" s="26"/>
      <c r="F59" s="26"/>
      <c r="G59" s="26"/>
      <c r="H59" s="26"/>
    </row>
    <row r="60" spans="2:8" x14ac:dyDescent="0.25">
      <c r="B60" s="263"/>
      <c r="C60" s="16" t="s">
        <v>77</v>
      </c>
      <c r="D60" s="21" t="s">
        <v>78</v>
      </c>
      <c r="E60" s="53"/>
      <c r="F60" s="53"/>
      <c r="G60" s="26"/>
      <c r="H60" s="26"/>
    </row>
    <row r="61" spans="2:8" x14ac:dyDescent="0.25">
      <c r="B61" s="264"/>
      <c r="C61" s="16" t="s">
        <v>79</v>
      </c>
      <c r="D61" s="21" t="s">
        <v>80</v>
      </c>
      <c r="E61" s="29"/>
      <c r="F61" s="29"/>
      <c r="G61" s="26"/>
      <c r="H61" s="26"/>
    </row>
    <row r="62" spans="2:8" x14ac:dyDescent="0.25">
      <c r="B62" s="262" t="s">
        <v>81</v>
      </c>
      <c r="C62" s="16" t="s">
        <v>100</v>
      </c>
      <c r="D62" s="21" t="s">
        <v>70</v>
      </c>
      <c r="E62" s="26"/>
      <c r="F62" s="26"/>
      <c r="G62" s="26"/>
      <c r="H62" s="26"/>
    </row>
    <row r="63" spans="2:8" x14ac:dyDescent="0.25">
      <c r="B63" s="263"/>
      <c r="C63" s="16" t="s">
        <v>77</v>
      </c>
      <c r="D63" s="21" t="s">
        <v>78</v>
      </c>
      <c r="E63" s="53"/>
      <c r="F63" s="53"/>
      <c r="G63" s="26"/>
      <c r="H63" s="26"/>
    </row>
    <row r="64" spans="2:8" x14ac:dyDescent="0.25">
      <c r="B64" s="264"/>
      <c r="C64" s="16" t="s">
        <v>79</v>
      </c>
      <c r="D64" s="21" t="s">
        <v>80</v>
      </c>
      <c r="E64" s="29"/>
      <c r="F64" s="29"/>
      <c r="G64" s="26"/>
      <c r="H64" s="26"/>
    </row>
    <row r="65" spans="2:8" x14ac:dyDescent="0.25">
      <c r="B65" s="267" t="s">
        <v>101</v>
      </c>
      <c r="C65" s="268"/>
      <c r="D65" s="268"/>
      <c r="E65" s="269"/>
      <c r="F65" s="269"/>
      <c r="G65" s="269"/>
      <c r="H65" s="270"/>
    </row>
    <row r="66" spans="2:8" x14ac:dyDescent="0.25">
      <c r="B66" s="262" t="s">
        <v>83</v>
      </c>
      <c r="C66" s="16" t="s">
        <v>84</v>
      </c>
      <c r="D66" s="21" t="s">
        <v>70</v>
      </c>
      <c r="E66" s="27"/>
      <c r="F66" s="27"/>
      <c r="G66" s="27"/>
      <c r="H66" s="27"/>
    </row>
    <row r="67" spans="2:8" x14ac:dyDescent="0.25">
      <c r="B67" s="263"/>
      <c r="C67" s="16" t="s">
        <v>85</v>
      </c>
      <c r="D67" s="21" t="s">
        <v>18</v>
      </c>
      <c r="E67" s="27"/>
      <c r="F67" s="27"/>
      <c r="G67" s="27"/>
      <c r="H67" s="27"/>
    </row>
    <row r="68" spans="2:8" x14ac:dyDescent="0.25">
      <c r="B68" s="264"/>
      <c r="C68" s="16" t="s">
        <v>86</v>
      </c>
      <c r="D68" s="21" t="s">
        <v>18</v>
      </c>
      <c r="E68" s="27"/>
      <c r="F68" s="27"/>
      <c r="G68" s="27"/>
      <c r="H68" s="27"/>
    </row>
    <row r="69" spans="2:8" x14ac:dyDescent="0.25">
      <c r="B69" s="262" t="s">
        <v>87</v>
      </c>
      <c r="C69" s="16" t="s">
        <v>84</v>
      </c>
      <c r="D69" s="21" t="s">
        <v>70</v>
      </c>
      <c r="E69" s="27"/>
      <c r="F69" s="27"/>
      <c r="G69" s="27"/>
      <c r="H69" s="27"/>
    </row>
    <row r="70" spans="2:8" x14ac:dyDescent="0.25">
      <c r="B70" s="263"/>
      <c r="C70" s="16" t="s">
        <v>85</v>
      </c>
      <c r="D70" s="21" t="s">
        <v>18</v>
      </c>
      <c r="E70" s="27"/>
      <c r="F70" s="27"/>
      <c r="G70" s="27"/>
      <c r="H70" s="27"/>
    </row>
    <row r="71" spans="2:8" x14ac:dyDescent="0.25">
      <c r="B71" s="264"/>
      <c r="C71" s="16" t="s">
        <v>86</v>
      </c>
      <c r="D71" s="21" t="s">
        <v>18</v>
      </c>
      <c r="E71" s="27"/>
      <c r="F71" s="27"/>
      <c r="G71" s="27"/>
      <c r="H71" s="27"/>
    </row>
    <row r="72" spans="2:8" x14ac:dyDescent="0.25">
      <c r="B72" s="262" t="s">
        <v>88</v>
      </c>
      <c r="C72" s="16" t="s">
        <v>84</v>
      </c>
      <c r="D72" s="21" t="s">
        <v>70</v>
      </c>
      <c r="E72" s="27"/>
      <c r="F72" s="27"/>
      <c r="G72" s="27"/>
      <c r="H72" s="27"/>
    </row>
    <row r="73" spans="2:8" x14ac:dyDescent="0.25">
      <c r="B73" s="263"/>
      <c r="C73" s="16" t="s">
        <v>85</v>
      </c>
      <c r="D73" s="21" t="s">
        <v>18</v>
      </c>
      <c r="E73" s="27"/>
      <c r="F73" s="27"/>
      <c r="G73" s="27"/>
      <c r="H73" s="27"/>
    </row>
    <row r="74" spans="2:8" x14ac:dyDescent="0.25">
      <c r="B74" s="264"/>
      <c r="C74" s="16" t="s">
        <v>86</v>
      </c>
      <c r="D74" s="21" t="s">
        <v>18</v>
      </c>
      <c r="E74" s="27"/>
      <c r="F74" s="27"/>
      <c r="G74" s="27"/>
      <c r="H74" s="27"/>
    </row>
    <row r="75" spans="2:8" x14ac:dyDescent="0.25">
      <c r="B75" s="262" t="s">
        <v>89</v>
      </c>
      <c r="C75" s="16" t="s">
        <v>84</v>
      </c>
      <c r="D75" s="21" t="s">
        <v>70</v>
      </c>
      <c r="E75" s="27"/>
      <c r="F75" s="27"/>
      <c r="G75" s="27"/>
      <c r="H75" s="27"/>
    </row>
    <row r="76" spans="2:8" x14ac:dyDescent="0.25">
      <c r="B76" s="263"/>
      <c r="C76" s="16" t="s">
        <v>85</v>
      </c>
      <c r="D76" s="21" t="s">
        <v>18</v>
      </c>
      <c r="E76" s="27"/>
      <c r="F76" s="27"/>
      <c r="G76" s="27"/>
      <c r="H76" s="27"/>
    </row>
    <row r="77" spans="2:8" x14ac:dyDescent="0.25">
      <c r="B77" s="264"/>
      <c r="C77" s="16" t="s">
        <v>86</v>
      </c>
      <c r="D77" s="21" t="s">
        <v>18</v>
      </c>
      <c r="E77" s="27"/>
      <c r="F77" s="27"/>
      <c r="G77" s="27"/>
      <c r="H77" s="27"/>
    </row>
    <row r="78" spans="2:8" x14ac:dyDescent="0.25">
      <c r="B78" s="262" t="s">
        <v>90</v>
      </c>
      <c r="C78" s="16" t="s">
        <v>91</v>
      </c>
      <c r="D78" s="21" t="s">
        <v>92</v>
      </c>
      <c r="E78" s="27"/>
      <c r="F78" s="27"/>
      <c r="G78" s="27"/>
      <c r="H78" s="27"/>
    </row>
    <row r="79" spans="2:8" x14ac:dyDescent="0.25">
      <c r="B79" s="263"/>
      <c r="C79" s="16" t="s">
        <v>84</v>
      </c>
      <c r="D79" s="21" t="s">
        <v>70</v>
      </c>
      <c r="E79" s="27"/>
      <c r="F79" s="27"/>
      <c r="G79" s="27"/>
      <c r="H79" s="27"/>
    </row>
    <row r="80" spans="2:8" x14ac:dyDescent="0.25">
      <c r="B80" s="263"/>
      <c r="C80" s="16" t="s">
        <v>85</v>
      </c>
      <c r="D80" s="21" t="s">
        <v>18</v>
      </c>
      <c r="E80" s="27"/>
      <c r="F80" s="27"/>
      <c r="G80" s="27"/>
      <c r="H80" s="27"/>
    </row>
    <row r="81" spans="2:8" x14ac:dyDescent="0.25">
      <c r="B81" s="264"/>
      <c r="C81" s="16" t="s">
        <v>93</v>
      </c>
      <c r="D81" s="21" t="s">
        <v>92</v>
      </c>
      <c r="E81" s="26"/>
      <c r="F81" s="26"/>
      <c r="G81" s="26"/>
      <c r="H81" s="26"/>
    </row>
    <row r="82" spans="2:8" x14ac:dyDescent="0.25">
      <c r="B82" s="262" t="s">
        <v>94</v>
      </c>
      <c r="C82" s="16" t="s">
        <v>95</v>
      </c>
      <c r="D82" s="21" t="s">
        <v>92</v>
      </c>
      <c r="E82" s="27"/>
      <c r="F82" s="27"/>
      <c r="G82" s="27"/>
      <c r="H82" s="27"/>
    </row>
    <row r="83" spans="2:8" x14ac:dyDescent="0.25">
      <c r="B83" s="263"/>
      <c r="C83" s="16" t="s">
        <v>84</v>
      </c>
      <c r="D83" s="21" t="s">
        <v>70</v>
      </c>
      <c r="E83" s="27"/>
      <c r="F83" s="27"/>
      <c r="G83" s="27"/>
      <c r="H83" s="27"/>
    </row>
    <row r="84" spans="2:8" x14ac:dyDescent="0.25">
      <c r="B84" s="264"/>
      <c r="C84" s="16" t="s">
        <v>85</v>
      </c>
      <c r="D84" s="21" t="s">
        <v>18</v>
      </c>
      <c r="E84" s="27"/>
      <c r="F84" s="27"/>
      <c r="G84" s="27"/>
      <c r="H84" s="27"/>
    </row>
    <row r="85" spans="2:8" ht="30" x14ac:dyDescent="0.25">
      <c r="B85" s="17" t="s">
        <v>96</v>
      </c>
      <c r="C85" s="18" t="s">
        <v>102</v>
      </c>
      <c r="D85" s="22" t="s">
        <v>70</v>
      </c>
      <c r="E85" s="27"/>
      <c r="F85" s="27"/>
      <c r="G85" s="27"/>
      <c r="H85" s="27"/>
    </row>
    <row r="86" spans="2:8" x14ac:dyDescent="0.25">
      <c r="B86" s="267" t="s">
        <v>103</v>
      </c>
      <c r="C86" s="268"/>
      <c r="D86" s="268"/>
      <c r="E86" s="269"/>
      <c r="F86" s="269"/>
      <c r="G86" s="269"/>
      <c r="H86" s="270"/>
    </row>
    <row r="87" spans="2:8" x14ac:dyDescent="0.25">
      <c r="B87" s="262" t="s">
        <v>83</v>
      </c>
      <c r="C87" s="16" t="s">
        <v>84</v>
      </c>
      <c r="D87" s="21" t="s">
        <v>70</v>
      </c>
      <c r="E87" s="27"/>
      <c r="F87" s="27"/>
      <c r="G87" s="27"/>
      <c r="H87" s="27"/>
    </row>
    <row r="88" spans="2:8" x14ac:dyDescent="0.25">
      <c r="B88" s="263"/>
      <c r="C88" s="16" t="s">
        <v>85</v>
      </c>
      <c r="D88" s="21" t="s">
        <v>18</v>
      </c>
      <c r="E88" s="27"/>
      <c r="F88" s="27"/>
      <c r="G88" s="27"/>
      <c r="H88" s="27"/>
    </row>
    <row r="89" spans="2:8" x14ac:dyDescent="0.25">
      <c r="B89" s="264"/>
      <c r="C89" s="16" t="s">
        <v>86</v>
      </c>
      <c r="D89" s="21" t="s">
        <v>18</v>
      </c>
      <c r="E89" s="27"/>
      <c r="F89" s="27"/>
      <c r="G89" s="27"/>
      <c r="H89" s="27"/>
    </row>
    <row r="90" spans="2:8" x14ac:dyDescent="0.25">
      <c r="B90" s="262" t="s">
        <v>87</v>
      </c>
      <c r="C90" s="16" t="s">
        <v>84</v>
      </c>
      <c r="D90" s="21" t="s">
        <v>70</v>
      </c>
      <c r="E90" s="27"/>
      <c r="F90" s="27"/>
      <c r="G90" s="27"/>
      <c r="H90" s="27"/>
    </row>
    <row r="91" spans="2:8" x14ac:dyDescent="0.25">
      <c r="B91" s="263"/>
      <c r="C91" s="16" t="s">
        <v>85</v>
      </c>
      <c r="D91" s="21" t="s">
        <v>18</v>
      </c>
      <c r="E91" s="27"/>
      <c r="F91" s="27"/>
      <c r="G91" s="27"/>
      <c r="H91" s="27"/>
    </row>
    <row r="92" spans="2:8" x14ac:dyDescent="0.25">
      <c r="B92" s="264"/>
      <c r="C92" s="16" t="s">
        <v>86</v>
      </c>
      <c r="D92" s="21" t="s">
        <v>18</v>
      </c>
      <c r="E92" s="27"/>
      <c r="F92" s="27"/>
      <c r="G92" s="27"/>
      <c r="H92" s="27"/>
    </row>
    <row r="93" spans="2:8" x14ac:dyDescent="0.25">
      <c r="B93" s="262" t="s">
        <v>88</v>
      </c>
      <c r="C93" s="16" t="s">
        <v>84</v>
      </c>
      <c r="D93" s="21" t="s">
        <v>70</v>
      </c>
      <c r="E93" s="27"/>
      <c r="F93" s="27"/>
      <c r="G93" s="27"/>
      <c r="H93" s="27"/>
    </row>
    <row r="94" spans="2:8" x14ac:dyDescent="0.25">
      <c r="B94" s="263"/>
      <c r="C94" s="16" t="s">
        <v>85</v>
      </c>
      <c r="D94" s="21" t="s">
        <v>18</v>
      </c>
      <c r="E94" s="27"/>
      <c r="F94" s="27"/>
      <c r="G94" s="27"/>
      <c r="H94" s="27"/>
    </row>
    <row r="95" spans="2:8" x14ac:dyDescent="0.25">
      <c r="B95" s="264"/>
      <c r="C95" s="16" t="s">
        <v>86</v>
      </c>
      <c r="D95" s="21" t="s">
        <v>18</v>
      </c>
      <c r="E95" s="27"/>
      <c r="F95" s="27"/>
      <c r="G95" s="27"/>
      <c r="H95" s="27"/>
    </row>
    <row r="96" spans="2:8" x14ac:dyDescent="0.25">
      <c r="B96" s="262" t="s">
        <v>89</v>
      </c>
      <c r="C96" s="16" t="s">
        <v>84</v>
      </c>
      <c r="D96" s="21" t="s">
        <v>70</v>
      </c>
      <c r="E96" s="27"/>
      <c r="F96" s="27"/>
      <c r="G96" s="27"/>
      <c r="H96" s="27"/>
    </row>
    <row r="97" spans="2:8" x14ac:dyDescent="0.25">
      <c r="B97" s="263"/>
      <c r="C97" s="16" t="s">
        <v>85</v>
      </c>
      <c r="D97" s="21" t="s">
        <v>18</v>
      </c>
      <c r="E97" s="27"/>
      <c r="F97" s="27"/>
      <c r="G97" s="27"/>
      <c r="H97" s="27"/>
    </row>
    <row r="98" spans="2:8" x14ac:dyDescent="0.25">
      <c r="B98" s="264"/>
      <c r="C98" s="16" t="s">
        <v>86</v>
      </c>
      <c r="D98" s="21" t="s">
        <v>18</v>
      </c>
      <c r="E98" s="27"/>
      <c r="F98" s="27"/>
      <c r="G98" s="27"/>
      <c r="H98" s="27"/>
    </row>
    <row r="99" spans="2:8" x14ac:dyDescent="0.25">
      <c r="B99" s="262" t="s">
        <v>90</v>
      </c>
      <c r="C99" s="16" t="s">
        <v>91</v>
      </c>
      <c r="D99" s="21" t="s">
        <v>92</v>
      </c>
      <c r="E99" s="27"/>
      <c r="F99" s="27"/>
      <c r="G99" s="27"/>
      <c r="H99" s="27"/>
    </row>
    <row r="100" spans="2:8" x14ac:dyDescent="0.25">
      <c r="B100" s="263"/>
      <c r="C100" s="16" t="s">
        <v>84</v>
      </c>
      <c r="D100" s="21" t="s">
        <v>70</v>
      </c>
      <c r="E100" s="27"/>
      <c r="F100" s="27"/>
      <c r="G100" s="27"/>
      <c r="H100" s="27"/>
    </row>
    <row r="101" spans="2:8" x14ac:dyDescent="0.25">
      <c r="B101" s="263"/>
      <c r="C101" s="16" t="s">
        <v>85</v>
      </c>
      <c r="D101" s="21" t="s">
        <v>18</v>
      </c>
      <c r="E101" s="27"/>
      <c r="F101" s="27"/>
      <c r="G101" s="27"/>
      <c r="H101" s="27"/>
    </row>
    <row r="102" spans="2:8" x14ac:dyDescent="0.25">
      <c r="B102" s="264"/>
      <c r="C102" s="16" t="s">
        <v>93</v>
      </c>
      <c r="D102" s="21" t="s">
        <v>92</v>
      </c>
      <c r="E102" s="26"/>
      <c r="F102" s="26"/>
      <c r="G102" s="26"/>
      <c r="H102" s="26"/>
    </row>
    <row r="103" spans="2:8" x14ac:dyDescent="0.25">
      <c r="B103" s="262" t="s">
        <v>94</v>
      </c>
      <c r="C103" s="16" t="s">
        <v>95</v>
      </c>
      <c r="D103" s="21" t="s">
        <v>92</v>
      </c>
      <c r="E103" s="27"/>
      <c r="F103" s="27"/>
      <c r="G103" s="27"/>
      <c r="H103" s="27"/>
    </row>
    <row r="104" spans="2:8" x14ac:dyDescent="0.25">
      <c r="B104" s="263"/>
      <c r="C104" s="16" t="s">
        <v>84</v>
      </c>
      <c r="D104" s="21" t="s">
        <v>70</v>
      </c>
      <c r="E104" s="27"/>
      <c r="F104" s="27"/>
      <c r="G104" s="27"/>
      <c r="H104" s="27"/>
    </row>
    <row r="105" spans="2:8" x14ac:dyDescent="0.25">
      <c r="B105" s="264"/>
      <c r="C105" s="16" t="s">
        <v>85</v>
      </c>
      <c r="D105" s="21" t="s">
        <v>18</v>
      </c>
      <c r="E105" s="27"/>
      <c r="F105" s="27"/>
      <c r="G105" s="27"/>
      <c r="H105" s="27"/>
    </row>
    <row r="106" spans="2:8" ht="30" x14ac:dyDescent="0.25">
      <c r="B106" s="17" t="s">
        <v>96</v>
      </c>
      <c r="C106" s="18" t="s">
        <v>102</v>
      </c>
      <c r="D106" s="22" t="s">
        <v>70</v>
      </c>
      <c r="E106" s="27"/>
      <c r="F106" s="27"/>
      <c r="G106" s="27"/>
      <c r="H106" s="27"/>
    </row>
    <row r="107" spans="2:8" x14ac:dyDescent="0.25">
      <c r="B107" s="267" t="s">
        <v>104</v>
      </c>
      <c r="C107" s="268"/>
      <c r="D107" s="268"/>
      <c r="E107" s="269"/>
      <c r="F107" s="269"/>
      <c r="G107" s="269"/>
      <c r="H107" s="270"/>
    </row>
    <row r="108" spans="2:8" x14ac:dyDescent="0.25">
      <c r="B108" s="262" t="s">
        <v>75</v>
      </c>
      <c r="C108" s="16" t="s">
        <v>105</v>
      </c>
      <c r="D108" s="21" t="s">
        <v>70</v>
      </c>
      <c r="E108" s="26"/>
      <c r="F108" s="26"/>
      <c r="G108" s="26"/>
      <c r="H108" s="26"/>
    </row>
    <row r="109" spans="2:8" x14ac:dyDescent="0.25">
      <c r="B109" s="263"/>
      <c r="C109" s="16" t="s">
        <v>77</v>
      </c>
      <c r="D109" s="21" t="s">
        <v>78</v>
      </c>
      <c r="E109" s="53"/>
      <c r="F109" s="53"/>
      <c r="G109" s="26"/>
      <c r="H109" s="26"/>
    </row>
    <row r="110" spans="2:8" x14ac:dyDescent="0.25">
      <c r="B110" s="264"/>
      <c r="C110" s="16" t="s">
        <v>79</v>
      </c>
      <c r="D110" s="21" t="s">
        <v>80</v>
      </c>
      <c r="E110" s="29"/>
      <c r="F110" s="29"/>
      <c r="G110" s="26"/>
      <c r="H110" s="26"/>
    </row>
    <row r="111" spans="2:8" x14ac:dyDescent="0.25">
      <c r="B111" s="262" t="s">
        <v>81</v>
      </c>
      <c r="C111" s="16" t="s">
        <v>105</v>
      </c>
      <c r="D111" s="21" t="s">
        <v>70</v>
      </c>
      <c r="E111" s="26"/>
      <c r="F111" s="26"/>
      <c r="G111" s="26"/>
      <c r="H111" s="26"/>
    </row>
    <row r="112" spans="2:8" x14ac:dyDescent="0.25">
      <c r="B112" s="263"/>
      <c r="C112" s="16" t="s">
        <v>77</v>
      </c>
      <c r="D112" s="21" t="s">
        <v>78</v>
      </c>
      <c r="E112" s="53"/>
      <c r="F112" s="53"/>
      <c r="G112" s="26"/>
      <c r="H112" s="26"/>
    </row>
    <row r="113" spans="2:8" x14ac:dyDescent="0.25">
      <c r="B113" s="264"/>
      <c r="C113" s="16" t="s">
        <v>79</v>
      </c>
      <c r="D113" s="21" t="s">
        <v>80</v>
      </c>
      <c r="E113" s="29"/>
      <c r="F113" s="29"/>
      <c r="G113" s="26"/>
      <c r="H113" s="26"/>
    </row>
    <row r="114" spans="2:8" x14ac:dyDescent="0.25">
      <c r="B114" s="267" t="s">
        <v>106</v>
      </c>
      <c r="C114" s="268"/>
      <c r="D114" s="268"/>
      <c r="E114" s="269"/>
      <c r="F114" s="269"/>
      <c r="G114" s="269"/>
      <c r="H114" s="270"/>
    </row>
    <row r="115" spans="2:8" x14ac:dyDescent="0.25">
      <c r="B115" s="262" t="s">
        <v>83</v>
      </c>
      <c r="C115" s="16" t="s">
        <v>84</v>
      </c>
      <c r="D115" s="21" t="s">
        <v>70</v>
      </c>
      <c r="E115" s="27"/>
      <c r="F115" s="27"/>
      <c r="G115" s="27"/>
      <c r="H115" s="27"/>
    </row>
    <row r="116" spans="2:8" x14ac:dyDescent="0.25">
      <c r="B116" s="263"/>
      <c r="C116" s="16" t="s">
        <v>85</v>
      </c>
      <c r="D116" s="21" t="s">
        <v>18</v>
      </c>
      <c r="E116" s="27"/>
      <c r="F116" s="27"/>
      <c r="G116" s="27"/>
      <c r="H116" s="27"/>
    </row>
    <row r="117" spans="2:8" x14ac:dyDescent="0.25">
      <c r="B117" s="264"/>
      <c r="C117" s="16" t="s">
        <v>86</v>
      </c>
      <c r="D117" s="21" t="s">
        <v>18</v>
      </c>
      <c r="E117" s="27"/>
      <c r="F117" s="27"/>
      <c r="G117" s="27"/>
      <c r="H117" s="27"/>
    </row>
    <row r="118" spans="2:8" x14ac:dyDescent="0.25">
      <c r="B118" s="262" t="s">
        <v>87</v>
      </c>
      <c r="C118" s="16" t="s">
        <v>84</v>
      </c>
      <c r="D118" s="21" t="s">
        <v>70</v>
      </c>
      <c r="E118" s="27"/>
      <c r="F118" s="27"/>
      <c r="G118" s="27"/>
      <c r="H118" s="27"/>
    </row>
    <row r="119" spans="2:8" x14ac:dyDescent="0.25">
      <c r="B119" s="263"/>
      <c r="C119" s="16" t="s">
        <v>85</v>
      </c>
      <c r="D119" s="21" t="s">
        <v>18</v>
      </c>
      <c r="E119" s="27"/>
      <c r="F119" s="27"/>
      <c r="G119" s="27"/>
      <c r="H119" s="27"/>
    </row>
    <row r="120" spans="2:8" x14ac:dyDescent="0.25">
      <c r="B120" s="264"/>
      <c r="C120" s="16" t="s">
        <v>86</v>
      </c>
      <c r="D120" s="21" t="s">
        <v>18</v>
      </c>
      <c r="E120" s="27"/>
      <c r="F120" s="27"/>
      <c r="G120" s="27"/>
      <c r="H120" s="27"/>
    </row>
    <row r="121" spans="2:8" x14ac:dyDescent="0.25">
      <c r="B121" s="262" t="s">
        <v>88</v>
      </c>
      <c r="C121" s="16" t="s">
        <v>84</v>
      </c>
      <c r="D121" s="21" t="s">
        <v>70</v>
      </c>
      <c r="E121" s="27"/>
      <c r="F121" s="27"/>
      <c r="G121" s="27"/>
      <c r="H121" s="27"/>
    </row>
    <row r="122" spans="2:8" x14ac:dyDescent="0.25">
      <c r="B122" s="263"/>
      <c r="C122" s="16" t="s">
        <v>85</v>
      </c>
      <c r="D122" s="21" t="s">
        <v>18</v>
      </c>
      <c r="E122" s="27"/>
      <c r="F122" s="27"/>
      <c r="G122" s="27"/>
      <c r="H122" s="27"/>
    </row>
    <row r="123" spans="2:8" x14ac:dyDescent="0.25">
      <c r="B123" s="264"/>
      <c r="C123" s="16" t="s">
        <v>86</v>
      </c>
      <c r="D123" s="21" t="s">
        <v>18</v>
      </c>
      <c r="E123" s="27"/>
      <c r="F123" s="27"/>
      <c r="G123" s="27"/>
      <c r="H123" s="27"/>
    </row>
    <row r="124" spans="2:8" x14ac:dyDescent="0.25">
      <c r="B124" s="262" t="s">
        <v>89</v>
      </c>
      <c r="C124" s="16" t="s">
        <v>84</v>
      </c>
      <c r="D124" s="21" t="s">
        <v>70</v>
      </c>
      <c r="E124" s="27"/>
      <c r="F124" s="27"/>
      <c r="G124" s="27"/>
      <c r="H124" s="27"/>
    </row>
    <row r="125" spans="2:8" x14ac:dyDescent="0.25">
      <c r="B125" s="263"/>
      <c r="C125" s="16" t="s">
        <v>85</v>
      </c>
      <c r="D125" s="21" t="s">
        <v>18</v>
      </c>
      <c r="E125" s="27"/>
      <c r="F125" s="27"/>
      <c r="G125" s="27"/>
      <c r="H125" s="27"/>
    </row>
    <row r="126" spans="2:8" x14ac:dyDescent="0.25">
      <c r="B126" s="264"/>
      <c r="C126" s="16" t="s">
        <v>86</v>
      </c>
      <c r="D126" s="21" t="s">
        <v>18</v>
      </c>
      <c r="E126" s="27"/>
      <c r="F126" s="27"/>
      <c r="G126" s="27"/>
      <c r="H126" s="27"/>
    </row>
    <row r="127" spans="2:8" x14ac:dyDescent="0.25">
      <c r="B127" s="262" t="s">
        <v>90</v>
      </c>
      <c r="C127" s="16" t="s">
        <v>91</v>
      </c>
      <c r="D127" s="21" t="s">
        <v>92</v>
      </c>
      <c r="E127" s="27"/>
      <c r="F127" s="27"/>
      <c r="G127" s="27"/>
      <c r="H127" s="27"/>
    </row>
    <row r="128" spans="2:8" x14ac:dyDescent="0.25">
      <c r="B128" s="263"/>
      <c r="C128" s="16" t="s">
        <v>84</v>
      </c>
      <c r="D128" s="21" t="s">
        <v>70</v>
      </c>
      <c r="E128" s="27"/>
      <c r="F128" s="27"/>
      <c r="G128" s="27"/>
      <c r="H128" s="27"/>
    </row>
    <row r="129" spans="2:8" x14ac:dyDescent="0.25">
      <c r="B129" s="263"/>
      <c r="C129" s="16" t="s">
        <v>85</v>
      </c>
      <c r="D129" s="21" t="s">
        <v>18</v>
      </c>
      <c r="E129" s="27"/>
      <c r="F129" s="27"/>
      <c r="G129" s="27"/>
      <c r="H129" s="27"/>
    </row>
    <row r="130" spans="2:8" x14ac:dyDescent="0.25">
      <c r="B130" s="264"/>
      <c r="C130" s="16" t="s">
        <v>93</v>
      </c>
      <c r="D130" s="21" t="s">
        <v>92</v>
      </c>
      <c r="E130" s="26"/>
      <c r="F130" s="26"/>
      <c r="G130" s="26"/>
      <c r="H130" s="26"/>
    </row>
    <row r="131" spans="2:8" x14ac:dyDescent="0.25">
      <c r="B131" s="262" t="s">
        <v>94</v>
      </c>
      <c r="C131" s="16" t="s">
        <v>95</v>
      </c>
      <c r="D131" s="21" t="s">
        <v>92</v>
      </c>
      <c r="E131" s="27"/>
      <c r="F131" s="27"/>
      <c r="G131" s="27"/>
      <c r="H131" s="27"/>
    </row>
    <row r="132" spans="2:8" x14ac:dyDescent="0.25">
      <c r="B132" s="263"/>
      <c r="C132" s="16" t="s">
        <v>84</v>
      </c>
      <c r="D132" s="21" t="s">
        <v>70</v>
      </c>
      <c r="E132" s="27"/>
      <c r="F132" s="27"/>
      <c r="G132" s="27"/>
      <c r="H132" s="27"/>
    </row>
    <row r="133" spans="2:8" x14ac:dyDescent="0.25">
      <c r="B133" s="264"/>
      <c r="C133" s="16" t="s">
        <v>85</v>
      </c>
      <c r="D133" s="21" t="s">
        <v>18</v>
      </c>
      <c r="E133" s="27"/>
      <c r="F133" s="27"/>
      <c r="G133" s="27"/>
      <c r="H133" s="27"/>
    </row>
    <row r="134" spans="2:8" ht="30" x14ac:dyDescent="0.25">
      <c r="B134" s="17" t="s">
        <v>96</v>
      </c>
      <c r="C134" s="18" t="s">
        <v>107</v>
      </c>
      <c r="D134" s="22" t="s">
        <v>70</v>
      </c>
      <c r="E134" s="27"/>
      <c r="F134" s="27"/>
      <c r="G134" s="27"/>
      <c r="H134" s="27"/>
    </row>
    <row r="135" spans="2:8" x14ac:dyDescent="0.25">
      <c r="B135" s="267" t="s">
        <v>108</v>
      </c>
      <c r="C135" s="268"/>
      <c r="D135" s="268"/>
      <c r="E135" s="269"/>
      <c r="F135" s="269"/>
      <c r="G135" s="269"/>
      <c r="H135" s="270"/>
    </row>
    <row r="136" spans="2:8" x14ac:dyDescent="0.25">
      <c r="B136" s="262" t="s">
        <v>83</v>
      </c>
      <c r="C136" s="16" t="s">
        <v>84</v>
      </c>
      <c r="D136" s="21" t="s">
        <v>70</v>
      </c>
      <c r="E136" s="27"/>
      <c r="F136" s="27"/>
      <c r="G136" s="27"/>
      <c r="H136" s="27"/>
    </row>
    <row r="137" spans="2:8" x14ac:dyDescent="0.25">
      <c r="B137" s="263"/>
      <c r="C137" s="16" t="s">
        <v>85</v>
      </c>
      <c r="D137" s="21" t="s">
        <v>18</v>
      </c>
      <c r="E137" s="27"/>
      <c r="F137" s="27"/>
      <c r="G137" s="27"/>
      <c r="H137" s="27"/>
    </row>
    <row r="138" spans="2:8" x14ac:dyDescent="0.25">
      <c r="B138" s="264"/>
      <c r="C138" s="16" t="s">
        <v>86</v>
      </c>
      <c r="D138" s="21" t="s">
        <v>18</v>
      </c>
      <c r="E138" s="27"/>
      <c r="F138" s="27"/>
      <c r="G138" s="27"/>
      <c r="H138" s="27"/>
    </row>
    <row r="139" spans="2:8" x14ac:dyDescent="0.25">
      <c r="B139" s="262" t="s">
        <v>87</v>
      </c>
      <c r="C139" s="16" t="s">
        <v>84</v>
      </c>
      <c r="D139" s="21" t="s">
        <v>70</v>
      </c>
      <c r="E139" s="27"/>
      <c r="F139" s="27"/>
      <c r="G139" s="27"/>
      <c r="H139" s="27"/>
    </row>
    <row r="140" spans="2:8" x14ac:dyDescent="0.25">
      <c r="B140" s="263"/>
      <c r="C140" s="16" t="s">
        <v>85</v>
      </c>
      <c r="D140" s="21" t="s">
        <v>18</v>
      </c>
      <c r="E140" s="27"/>
      <c r="F140" s="27"/>
      <c r="G140" s="27"/>
      <c r="H140" s="27"/>
    </row>
    <row r="141" spans="2:8" x14ac:dyDescent="0.25">
      <c r="B141" s="264"/>
      <c r="C141" s="16" t="s">
        <v>86</v>
      </c>
      <c r="D141" s="21" t="s">
        <v>18</v>
      </c>
      <c r="E141" s="27"/>
      <c r="F141" s="27"/>
      <c r="G141" s="27"/>
      <c r="H141" s="27"/>
    </row>
    <row r="142" spans="2:8" x14ac:dyDescent="0.25">
      <c r="B142" s="262" t="s">
        <v>88</v>
      </c>
      <c r="C142" s="16" t="s">
        <v>84</v>
      </c>
      <c r="D142" s="21" t="s">
        <v>70</v>
      </c>
      <c r="E142" s="27"/>
      <c r="F142" s="27"/>
      <c r="G142" s="27"/>
      <c r="H142" s="27"/>
    </row>
    <row r="143" spans="2:8" x14ac:dyDescent="0.25">
      <c r="B143" s="263"/>
      <c r="C143" s="16" t="s">
        <v>85</v>
      </c>
      <c r="D143" s="21" t="s">
        <v>18</v>
      </c>
      <c r="E143" s="27"/>
      <c r="F143" s="27"/>
      <c r="G143" s="27"/>
      <c r="H143" s="27"/>
    </row>
    <row r="144" spans="2:8" x14ac:dyDescent="0.25">
      <c r="B144" s="264"/>
      <c r="C144" s="16" t="s">
        <v>86</v>
      </c>
      <c r="D144" s="21" t="s">
        <v>18</v>
      </c>
      <c r="E144" s="27"/>
      <c r="F144" s="27"/>
      <c r="G144" s="27"/>
      <c r="H144" s="27"/>
    </row>
    <row r="145" spans="2:8" x14ac:dyDescent="0.25">
      <c r="B145" s="262" t="s">
        <v>89</v>
      </c>
      <c r="C145" s="16" t="s">
        <v>84</v>
      </c>
      <c r="D145" s="21" t="s">
        <v>70</v>
      </c>
      <c r="E145" s="27"/>
      <c r="F145" s="27"/>
      <c r="G145" s="27"/>
      <c r="H145" s="27"/>
    </row>
    <row r="146" spans="2:8" x14ac:dyDescent="0.25">
      <c r="B146" s="263"/>
      <c r="C146" s="16" t="s">
        <v>85</v>
      </c>
      <c r="D146" s="21" t="s">
        <v>18</v>
      </c>
      <c r="E146" s="27"/>
      <c r="F146" s="27"/>
      <c r="G146" s="27"/>
      <c r="H146" s="27"/>
    </row>
    <row r="147" spans="2:8" x14ac:dyDescent="0.25">
      <c r="B147" s="264"/>
      <c r="C147" s="16" t="s">
        <v>86</v>
      </c>
      <c r="D147" s="21" t="s">
        <v>18</v>
      </c>
      <c r="E147" s="27"/>
      <c r="F147" s="27"/>
      <c r="G147" s="27"/>
      <c r="H147" s="27"/>
    </row>
    <row r="148" spans="2:8" x14ac:dyDescent="0.25">
      <c r="B148" s="262" t="s">
        <v>90</v>
      </c>
      <c r="C148" s="16" t="s">
        <v>91</v>
      </c>
      <c r="D148" s="21" t="s">
        <v>92</v>
      </c>
      <c r="E148" s="27"/>
      <c r="F148" s="27"/>
      <c r="G148" s="27"/>
      <c r="H148" s="27"/>
    </row>
    <row r="149" spans="2:8" x14ac:dyDescent="0.25">
      <c r="B149" s="263"/>
      <c r="C149" s="16" t="s">
        <v>84</v>
      </c>
      <c r="D149" s="21" t="s">
        <v>70</v>
      </c>
      <c r="E149" s="27"/>
      <c r="F149" s="27"/>
      <c r="G149" s="27"/>
      <c r="H149" s="27"/>
    </row>
    <row r="150" spans="2:8" x14ac:dyDescent="0.25">
      <c r="B150" s="263"/>
      <c r="C150" s="16" t="s">
        <v>85</v>
      </c>
      <c r="D150" s="21" t="s">
        <v>18</v>
      </c>
      <c r="E150" s="27"/>
      <c r="F150" s="27"/>
      <c r="G150" s="27"/>
      <c r="H150" s="27"/>
    </row>
    <row r="151" spans="2:8" x14ac:dyDescent="0.25">
      <c r="B151" s="264"/>
      <c r="C151" s="16" t="s">
        <v>93</v>
      </c>
      <c r="D151" s="21" t="s">
        <v>92</v>
      </c>
      <c r="E151" s="26"/>
      <c r="F151" s="26"/>
      <c r="G151" s="26"/>
      <c r="H151" s="26"/>
    </row>
    <row r="152" spans="2:8" x14ac:dyDescent="0.25">
      <c r="B152" s="262" t="s">
        <v>94</v>
      </c>
      <c r="C152" s="16" t="s">
        <v>95</v>
      </c>
      <c r="D152" s="21" t="s">
        <v>92</v>
      </c>
      <c r="E152" s="27"/>
      <c r="F152" s="27"/>
      <c r="G152" s="27"/>
      <c r="H152" s="27"/>
    </row>
    <row r="153" spans="2:8" x14ac:dyDescent="0.25">
      <c r="B153" s="263"/>
      <c r="C153" s="16" t="s">
        <v>84</v>
      </c>
      <c r="D153" s="21" t="s">
        <v>70</v>
      </c>
      <c r="E153" s="27"/>
      <c r="F153" s="27"/>
      <c r="G153" s="27"/>
      <c r="H153" s="27"/>
    </row>
    <row r="154" spans="2:8" x14ac:dyDescent="0.25">
      <c r="B154" s="264"/>
      <c r="C154" s="16" t="s">
        <v>85</v>
      </c>
      <c r="D154" s="21" t="s">
        <v>18</v>
      </c>
      <c r="E154" s="27"/>
      <c r="F154" s="27"/>
      <c r="G154" s="27"/>
      <c r="H154" s="27"/>
    </row>
    <row r="155" spans="2:8" ht="30" x14ac:dyDescent="0.25">
      <c r="B155" s="17" t="s">
        <v>96</v>
      </c>
      <c r="C155" s="18" t="s">
        <v>107</v>
      </c>
      <c r="D155" s="22" t="s">
        <v>70</v>
      </c>
      <c r="E155" s="27"/>
      <c r="F155" s="27"/>
      <c r="G155" s="27"/>
      <c r="H155" s="27"/>
    </row>
    <row r="156" spans="2:8" x14ac:dyDescent="0.25">
      <c r="B156" s="267" t="s">
        <v>109</v>
      </c>
      <c r="C156" s="268"/>
      <c r="D156" s="268"/>
      <c r="E156" s="269"/>
      <c r="F156" s="269"/>
      <c r="G156" s="269"/>
      <c r="H156" s="270"/>
    </row>
    <row r="157" spans="2:8" x14ac:dyDescent="0.25">
      <c r="B157" s="262" t="s">
        <v>110</v>
      </c>
      <c r="C157" s="16" t="s">
        <v>111</v>
      </c>
      <c r="D157" s="21" t="s">
        <v>112</v>
      </c>
      <c r="E157" s="27" t="s">
        <v>113</v>
      </c>
      <c r="F157" s="27" t="s">
        <v>113</v>
      </c>
      <c r="G157" s="27"/>
      <c r="H157" s="27"/>
    </row>
    <row r="158" spans="2:8" x14ac:dyDescent="0.25">
      <c r="B158" s="263"/>
      <c r="C158" s="16" t="s">
        <v>114</v>
      </c>
      <c r="D158" s="21" t="s">
        <v>112</v>
      </c>
      <c r="E158" s="27" t="s">
        <v>115</v>
      </c>
      <c r="F158" s="27" t="s">
        <v>115</v>
      </c>
      <c r="G158" s="27"/>
      <c r="H158" s="27"/>
    </row>
    <row r="159" spans="2:8" x14ac:dyDescent="0.25">
      <c r="B159" s="263"/>
      <c r="C159" s="16" t="s">
        <v>116</v>
      </c>
      <c r="D159" s="21" t="s">
        <v>112</v>
      </c>
      <c r="E159" s="27" t="s">
        <v>115</v>
      </c>
      <c r="F159" s="27" t="s">
        <v>115</v>
      </c>
      <c r="G159" s="27"/>
      <c r="H159" s="27"/>
    </row>
    <row r="160" spans="2:8" x14ac:dyDescent="0.25">
      <c r="B160" s="263"/>
      <c r="C160" s="16" t="s">
        <v>117</v>
      </c>
      <c r="D160" s="21" t="s">
        <v>112</v>
      </c>
      <c r="E160" s="27" t="s">
        <v>115</v>
      </c>
      <c r="F160" s="27" t="s">
        <v>115</v>
      </c>
      <c r="G160" s="27"/>
      <c r="H160" s="27"/>
    </row>
    <row r="161" spans="2:8" x14ac:dyDescent="0.25">
      <c r="B161" s="263"/>
      <c r="C161" s="16" t="s">
        <v>118</v>
      </c>
      <c r="D161" s="21" t="s">
        <v>112</v>
      </c>
      <c r="E161" s="27" t="s">
        <v>115</v>
      </c>
      <c r="F161" s="27" t="s">
        <v>115</v>
      </c>
      <c r="G161" s="27"/>
      <c r="H161" s="27"/>
    </row>
    <row r="162" spans="2:8" x14ac:dyDescent="0.25">
      <c r="B162" s="264"/>
      <c r="C162" s="16" t="s">
        <v>119</v>
      </c>
      <c r="D162" s="21" t="s">
        <v>112</v>
      </c>
      <c r="E162" s="27" t="s">
        <v>120</v>
      </c>
      <c r="F162" s="27" t="s">
        <v>120</v>
      </c>
      <c r="G162" s="27"/>
      <c r="H162" s="27"/>
    </row>
    <row r="163" spans="2:8" x14ac:dyDescent="0.25">
      <c r="B163" s="16" t="s">
        <v>121</v>
      </c>
      <c r="C163" s="16" t="s">
        <v>122</v>
      </c>
      <c r="D163" s="21" t="s">
        <v>123</v>
      </c>
      <c r="E163" s="27" t="s">
        <v>124</v>
      </c>
      <c r="F163" s="27" t="s">
        <v>124</v>
      </c>
      <c r="G163" s="27"/>
      <c r="H163" s="27"/>
    </row>
    <row r="164" spans="2:8" x14ac:dyDescent="0.25">
      <c r="B164" s="16" t="s">
        <v>125</v>
      </c>
      <c r="C164" s="16" t="s">
        <v>126</v>
      </c>
      <c r="D164" s="21"/>
      <c r="E164" s="27" t="s">
        <v>127</v>
      </c>
      <c r="F164" s="27" t="s">
        <v>127</v>
      </c>
      <c r="G164" s="27"/>
      <c r="H164" s="27"/>
    </row>
    <row r="165" spans="2:8" x14ac:dyDescent="0.25">
      <c r="B165" s="262" t="s">
        <v>128</v>
      </c>
      <c r="C165" s="16" t="s">
        <v>129</v>
      </c>
      <c r="D165" s="21" t="s">
        <v>18</v>
      </c>
      <c r="E165" s="27" t="s">
        <v>130</v>
      </c>
      <c r="F165" s="27" t="s">
        <v>130</v>
      </c>
      <c r="G165" s="27"/>
      <c r="H165" s="27"/>
    </row>
    <row r="166" spans="2:8" x14ac:dyDescent="0.25">
      <c r="B166" s="263"/>
      <c r="C166" s="16" t="s">
        <v>131</v>
      </c>
      <c r="D166" s="21" t="s">
        <v>70</v>
      </c>
      <c r="E166" s="28">
        <v>1.2E-2</v>
      </c>
      <c r="F166" s="28">
        <v>1.2E-2</v>
      </c>
      <c r="G166" s="27"/>
      <c r="H166" s="27"/>
    </row>
    <row r="167" spans="2:8" x14ac:dyDescent="0.25">
      <c r="B167" s="263"/>
      <c r="C167" s="16" t="s">
        <v>132</v>
      </c>
      <c r="D167" s="21" t="s">
        <v>70</v>
      </c>
      <c r="E167" s="28">
        <v>1.2999999999999999E-2</v>
      </c>
      <c r="F167" s="28">
        <v>1.2999999999999999E-2</v>
      </c>
      <c r="G167" s="27"/>
      <c r="H167" s="27"/>
    </row>
    <row r="168" spans="2:8" x14ac:dyDescent="0.25">
      <c r="B168" s="263"/>
      <c r="C168" s="16" t="s">
        <v>133</v>
      </c>
      <c r="D168" s="21" t="s">
        <v>70</v>
      </c>
      <c r="E168" s="28">
        <v>1.2999999999999999E-2</v>
      </c>
      <c r="F168" s="28">
        <v>1.2999999999999999E-2</v>
      </c>
      <c r="G168" s="27"/>
      <c r="H168" s="27"/>
    </row>
    <row r="169" spans="2:8" x14ac:dyDescent="0.25">
      <c r="B169" s="263"/>
      <c r="C169" s="16" t="s">
        <v>134</v>
      </c>
      <c r="D169" s="21" t="s">
        <v>70</v>
      </c>
      <c r="E169" s="28">
        <v>0</v>
      </c>
      <c r="F169" s="28">
        <v>0</v>
      </c>
      <c r="G169" s="27"/>
      <c r="H169" s="27"/>
    </row>
    <row r="170" spans="2:8" x14ac:dyDescent="0.25">
      <c r="B170" s="263"/>
      <c r="C170" s="16" t="s">
        <v>135</v>
      </c>
      <c r="D170" s="21" t="s">
        <v>80</v>
      </c>
      <c r="E170" s="27" t="s">
        <v>127</v>
      </c>
      <c r="F170" s="27" t="s">
        <v>127</v>
      </c>
      <c r="G170" s="27"/>
      <c r="H170" s="27"/>
    </row>
    <row r="171" spans="2:8" x14ac:dyDescent="0.25">
      <c r="B171" s="264"/>
      <c r="C171" s="16" t="s">
        <v>136</v>
      </c>
      <c r="D171" s="21" t="s">
        <v>80</v>
      </c>
      <c r="E171" s="27" t="s">
        <v>127</v>
      </c>
      <c r="F171" s="27" t="s">
        <v>127</v>
      </c>
      <c r="G171" s="27"/>
      <c r="H171" s="27"/>
    </row>
  </sheetData>
  <mergeCells count="56">
    <mergeCell ref="B156:H156"/>
    <mergeCell ref="B157:B162"/>
    <mergeCell ref="B165:B171"/>
    <mergeCell ref="B136:B138"/>
    <mergeCell ref="B139:B141"/>
    <mergeCell ref="B142:B144"/>
    <mergeCell ref="B145:B147"/>
    <mergeCell ref="B148:B151"/>
    <mergeCell ref="B152:B154"/>
    <mergeCell ref="B135:H135"/>
    <mergeCell ref="B103:B105"/>
    <mergeCell ref="B107:H107"/>
    <mergeCell ref="B108:B110"/>
    <mergeCell ref="B111:B113"/>
    <mergeCell ref="B114:H114"/>
    <mergeCell ref="B115:B117"/>
    <mergeCell ref="B118:B120"/>
    <mergeCell ref="B121:B123"/>
    <mergeCell ref="B124:B126"/>
    <mergeCell ref="B127:B130"/>
    <mergeCell ref="B131:B133"/>
    <mergeCell ref="B99:B102"/>
    <mergeCell ref="B66:B68"/>
    <mergeCell ref="B69:B71"/>
    <mergeCell ref="B72:B74"/>
    <mergeCell ref="B75:B77"/>
    <mergeCell ref="B78:B81"/>
    <mergeCell ref="B82:B84"/>
    <mergeCell ref="B86:H86"/>
    <mergeCell ref="B87:B89"/>
    <mergeCell ref="B90:B92"/>
    <mergeCell ref="B93:B95"/>
    <mergeCell ref="B96:B98"/>
    <mergeCell ref="B65:H65"/>
    <mergeCell ref="B33:B35"/>
    <mergeCell ref="B37:H37"/>
    <mergeCell ref="B38:B40"/>
    <mergeCell ref="B41:B43"/>
    <mergeCell ref="B44:B46"/>
    <mergeCell ref="B47:B49"/>
    <mergeCell ref="B50:B53"/>
    <mergeCell ref="B54:B56"/>
    <mergeCell ref="B58:H58"/>
    <mergeCell ref="B59:B61"/>
    <mergeCell ref="B62:B64"/>
    <mergeCell ref="B29:B32"/>
    <mergeCell ref="B3:C3"/>
    <mergeCell ref="B17:B19"/>
    <mergeCell ref="B20:B22"/>
    <mergeCell ref="B23:B25"/>
    <mergeCell ref="B26:B28"/>
    <mergeCell ref="B4:B5"/>
    <mergeCell ref="B9:H9"/>
    <mergeCell ref="B16:H16"/>
    <mergeCell ref="B10:B12"/>
    <mergeCell ref="B13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536E-9178-4988-9C16-CFCB806787EC}">
  <dimension ref="B2:I46"/>
  <sheetViews>
    <sheetView workbookViewId="0">
      <pane ySplit="3" topLeftCell="A4" activePane="bottomLeft" state="frozen"/>
      <selection pane="bottomLeft" activeCell="E22" sqref="E22"/>
    </sheetView>
  </sheetViews>
  <sheetFormatPr defaultColWidth="10.85546875" defaultRowHeight="15" x14ac:dyDescent="0.25"/>
  <cols>
    <col min="1" max="1" width="2.5703125" style="1" customWidth="1"/>
    <col min="2" max="2" width="31.85546875" style="1" customWidth="1"/>
    <col min="3" max="3" width="42.5703125" style="1" bestFit="1" customWidth="1"/>
    <col min="4" max="4" width="9.42578125" style="2" customWidth="1"/>
    <col min="5" max="8" width="14.5703125" style="1" customWidth="1"/>
    <col min="9" max="16384" width="10.85546875" style="1"/>
  </cols>
  <sheetData>
    <row r="2" spans="2:9" ht="28.5" x14ac:dyDescent="0.45">
      <c r="B2" s="19" t="s">
        <v>63</v>
      </c>
      <c r="E2" s="271" t="s">
        <v>137</v>
      </c>
      <c r="F2" s="272"/>
      <c r="G2" s="25"/>
      <c r="H2" s="25"/>
    </row>
    <row r="3" spans="2:9" ht="30" x14ac:dyDescent="0.25">
      <c r="B3" s="265" t="s">
        <v>138</v>
      </c>
      <c r="C3" s="266"/>
      <c r="D3" s="20" t="s">
        <v>9</v>
      </c>
      <c r="E3" s="26" t="s">
        <v>23</v>
      </c>
      <c r="F3" s="26" t="s">
        <v>25</v>
      </c>
      <c r="G3" s="26" t="s">
        <v>26</v>
      </c>
      <c r="H3" s="26" t="s">
        <v>27</v>
      </c>
      <c r="I3" s="23"/>
    </row>
    <row r="4" spans="2:9" x14ac:dyDescent="0.25">
      <c r="B4" s="262" t="s">
        <v>65</v>
      </c>
      <c r="C4" s="16" t="s">
        <v>66</v>
      </c>
      <c r="D4" s="21" t="s">
        <v>19</v>
      </c>
      <c r="E4" s="26">
        <v>46</v>
      </c>
      <c r="F4" s="26">
        <v>48</v>
      </c>
      <c r="G4" s="26"/>
      <c r="H4" s="26"/>
      <c r="I4" s="23"/>
    </row>
    <row r="5" spans="2:9" x14ac:dyDescent="0.25">
      <c r="B5" s="264"/>
      <c r="C5" s="16" t="s">
        <v>67</v>
      </c>
      <c r="D5" s="21" t="s">
        <v>19</v>
      </c>
      <c r="E5" s="26">
        <v>46</v>
      </c>
      <c r="F5" s="26">
        <v>48</v>
      </c>
      <c r="G5" s="26"/>
      <c r="H5" s="26"/>
      <c r="I5" s="23"/>
    </row>
    <row r="6" spans="2:9" x14ac:dyDescent="0.25">
      <c r="B6" s="262" t="s">
        <v>139</v>
      </c>
      <c r="C6" s="16" t="s">
        <v>140</v>
      </c>
      <c r="D6" s="21" t="s">
        <v>70</v>
      </c>
      <c r="E6" s="26"/>
      <c r="F6" s="26"/>
      <c r="G6" s="26"/>
      <c r="H6" s="26"/>
      <c r="I6" s="23"/>
    </row>
    <row r="7" spans="2:9" x14ac:dyDescent="0.25">
      <c r="B7" s="263"/>
      <c r="C7" s="16" t="s">
        <v>141</v>
      </c>
      <c r="D7" s="21" t="s">
        <v>78</v>
      </c>
      <c r="E7" s="26"/>
      <c r="F7" s="26"/>
      <c r="G7" s="26"/>
      <c r="H7" s="26"/>
      <c r="I7" s="23"/>
    </row>
    <row r="8" spans="2:9" x14ac:dyDescent="0.25">
      <c r="B8" s="264"/>
      <c r="C8" s="16" t="s">
        <v>79</v>
      </c>
      <c r="D8" s="21" t="s">
        <v>80</v>
      </c>
      <c r="E8" s="29"/>
      <c r="F8" s="29"/>
      <c r="G8" s="26"/>
      <c r="H8" s="26"/>
      <c r="I8" s="23"/>
    </row>
    <row r="9" spans="2:9" x14ac:dyDescent="0.25">
      <c r="B9" s="262" t="s">
        <v>142</v>
      </c>
      <c r="C9" s="16" t="s">
        <v>143</v>
      </c>
      <c r="D9" s="21" t="s">
        <v>70</v>
      </c>
      <c r="E9" s="26"/>
      <c r="F9" s="26"/>
      <c r="G9" s="26"/>
      <c r="H9" s="26"/>
      <c r="I9" s="23"/>
    </row>
    <row r="10" spans="2:9" x14ac:dyDescent="0.25">
      <c r="B10" s="263"/>
      <c r="C10" s="16" t="s">
        <v>141</v>
      </c>
      <c r="D10" s="21" t="s">
        <v>78</v>
      </c>
      <c r="E10" s="26"/>
      <c r="F10" s="26"/>
      <c r="G10" s="26"/>
      <c r="H10" s="26"/>
      <c r="I10" s="23"/>
    </row>
    <row r="11" spans="2:9" x14ac:dyDescent="0.25">
      <c r="B11" s="264"/>
      <c r="C11" s="16" t="s">
        <v>79</v>
      </c>
      <c r="D11" s="21" t="s">
        <v>80</v>
      </c>
      <c r="E11" s="29"/>
      <c r="F11" s="29"/>
      <c r="G11" s="26"/>
      <c r="H11" s="26"/>
      <c r="I11" s="23"/>
    </row>
    <row r="12" spans="2:9" x14ac:dyDescent="0.25">
      <c r="B12" s="267" t="s">
        <v>144</v>
      </c>
      <c r="C12" s="268"/>
      <c r="D12" s="268"/>
      <c r="E12" s="269"/>
      <c r="F12" s="269"/>
      <c r="G12" s="269"/>
      <c r="H12" s="270"/>
      <c r="I12" s="23"/>
    </row>
    <row r="13" spans="2:9" x14ac:dyDescent="0.25">
      <c r="B13" s="262" t="s">
        <v>145</v>
      </c>
      <c r="C13" s="16" t="s">
        <v>146</v>
      </c>
      <c r="D13" s="21" t="s">
        <v>70</v>
      </c>
      <c r="E13" s="27"/>
      <c r="F13" s="27"/>
      <c r="G13" s="27"/>
      <c r="H13" s="27"/>
      <c r="I13" s="23"/>
    </row>
    <row r="14" spans="2:9" x14ac:dyDescent="0.25">
      <c r="B14" s="263"/>
      <c r="C14" s="16" t="s">
        <v>147</v>
      </c>
      <c r="D14" s="21" t="s">
        <v>18</v>
      </c>
      <c r="E14" s="27"/>
      <c r="F14" s="27"/>
      <c r="G14" s="27"/>
      <c r="H14" s="27"/>
      <c r="I14" s="23"/>
    </row>
    <row r="15" spans="2:9" x14ac:dyDescent="0.25">
      <c r="B15" s="264"/>
      <c r="C15" s="16" t="s">
        <v>148</v>
      </c>
      <c r="D15" s="21" t="s">
        <v>18</v>
      </c>
      <c r="E15" s="27"/>
      <c r="F15" s="27"/>
      <c r="G15" s="27"/>
      <c r="H15" s="27"/>
      <c r="I15" s="23"/>
    </row>
    <row r="16" spans="2:9" x14ac:dyDescent="0.25">
      <c r="B16" s="262" t="s">
        <v>149</v>
      </c>
      <c r="C16" s="16" t="s">
        <v>146</v>
      </c>
      <c r="D16" s="21" t="s">
        <v>70</v>
      </c>
      <c r="E16" s="27"/>
      <c r="F16" s="27"/>
      <c r="G16" s="27"/>
      <c r="H16" s="27"/>
      <c r="I16" s="23"/>
    </row>
    <row r="17" spans="2:9" x14ac:dyDescent="0.25">
      <c r="B17" s="263"/>
      <c r="C17" s="16" t="s">
        <v>147</v>
      </c>
      <c r="D17" s="21" t="s">
        <v>18</v>
      </c>
      <c r="E17" s="27"/>
      <c r="F17" s="27"/>
      <c r="G17" s="27"/>
      <c r="H17" s="27"/>
      <c r="I17" s="23"/>
    </row>
    <row r="18" spans="2:9" x14ac:dyDescent="0.25">
      <c r="B18" s="264"/>
      <c r="C18" s="16" t="s">
        <v>148</v>
      </c>
      <c r="D18" s="21" t="s">
        <v>18</v>
      </c>
      <c r="E18" s="27"/>
      <c r="F18" s="27"/>
      <c r="G18" s="27"/>
      <c r="H18" s="27"/>
      <c r="I18" s="23"/>
    </row>
    <row r="19" spans="2:9" x14ac:dyDescent="0.25">
      <c r="B19" s="262" t="s">
        <v>150</v>
      </c>
      <c r="C19" s="16" t="s">
        <v>146</v>
      </c>
      <c r="D19" s="21" t="s">
        <v>70</v>
      </c>
      <c r="E19" s="27"/>
      <c r="F19" s="27"/>
      <c r="G19" s="27"/>
      <c r="H19" s="27"/>
      <c r="I19" s="23"/>
    </row>
    <row r="20" spans="2:9" x14ac:dyDescent="0.25">
      <c r="B20" s="263"/>
      <c r="C20" s="16" t="s">
        <v>147</v>
      </c>
      <c r="D20" s="21" t="s">
        <v>18</v>
      </c>
      <c r="E20" s="27"/>
      <c r="F20" s="27"/>
      <c r="G20" s="27"/>
      <c r="H20" s="27"/>
      <c r="I20" s="23"/>
    </row>
    <row r="21" spans="2:9" x14ac:dyDescent="0.25">
      <c r="B21" s="264"/>
      <c r="C21" s="16" t="s">
        <v>148</v>
      </c>
      <c r="D21" s="21" t="s">
        <v>18</v>
      </c>
      <c r="E21" s="27"/>
      <c r="F21" s="27"/>
      <c r="G21" s="27"/>
      <c r="H21" s="27"/>
      <c r="I21" s="23"/>
    </row>
    <row r="22" spans="2:9" x14ac:dyDescent="0.25">
      <c r="B22" s="262" t="s">
        <v>151</v>
      </c>
      <c r="C22" s="16" t="s">
        <v>146</v>
      </c>
      <c r="D22" s="21" t="s">
        <v>70</v>
      </c>
      <c r="E22" s="27"/>
      <c r="F22" s="27"/>
      <c r="G22" s="27"/>
      <c r="H22" s="27"/>
      <c r="I22" s="23"/>
    </row>
    <row r="23" spans="2:9" x14ac:dyDescent="0.25">
      <c r="B23" s="263"/>
      <c r="C23" s="16" t="s">
        <v>147</v>
      </c>
      <c r="D23" s="21" t="s">
        <v>18</v>
      </c>
      <c r="E23" s="27"/>
      <c r="F23" s="27"/>
      <c r="G23" s="27"/>
      <c r="H23" s="27"/>
      <c r="I23" s="23"/>
    </row>
    <row r="24" spans="2:9" x14ac:dyDescent="0.25">
      <c r="B24" s="264"/>
      <c r="C24" s="16" t="s">
        <v>148</v>
      </c>
      <c r="D24" s="21" t="s">
        <v>18</v>
      </c>
      <c r="E24" s="27"/>
      <c r="F24" s="27"/>
      <c r="G24" s="27"/>
      <c r="H24" s="27"/>
      <c r="I24" s="23"/>
    </row>
    <row r="25" spans="2:9" ht="14.45" customHeight="1" x14ac:dyDescent="0.25">
      <c r="B25" s="267" t="s">
        <v>152</v>
      </c>
      <c r="C25" s="268"/>
      <c r="D25" s="268"/>
      <c r="E25" s="269"/>
      <c r="F25" s="269"/>
      <c r="G25" s="269"/>
      <c r="H25" s="270"/>
    </row>
    <row r="26" spans="2:9" x14ac:dyDescent="0.25">
      <c r="B26" s="262" t="s">
        <v>145</v>
      </c>
      <c r="C26" s="16" t="s">
        <v>146</v>
      </c>
      <c r="D26" s="21" t="s">
        <v>70</v>
      </c>
      <c r="E26" s="27"/>
      <c r="F26" s="27"/>
      <c r="G26" s="27"/>
      <c r="H26" s="27"/>
    </row>
    <row r="27" spans="2:9" x14ac:dyDescent="0.25">
      <c r="B27" s="263"/>
      <c r="C27" s="16" t="s">
        <v>147</v>
      </c>
      <c r="D27" s="21" t="s">
        <v>18</v>
      </c>
      <c r="E27" s="27"/>
      <c r="F27" s="27"/>
      <c r="G27" s="27"/>
      <c r="H27" s="27"/>
    </row>
    <row r="28" spans="2:9" x14ac:dyDescent="0.25">
      <c r="B28" s="264"/>
      <c r="C28" s="16" t="s">
        <v>148</v>
      </c>
      <c r="D28" s="21" t="s">
        <v>18</v>
      </c>
      <c r="E28" s="27"/>
      <c r="F28" s="27"/>
      <c r="G28" s="27"/>
      <c r="H28" s="27"/>
    </row>
    <row r="29" spans="2:9" x14ac:dyDescent="0.25">
      <c r="B29" s="262" t="s">
        <v>149</v>
      </c>
      <c r="C29" s="16" t="s">
        <v>146</v>
      </c>
      <c r="D29" s="21" t="s">
        <v>70</v>
      </c>
      <c r="E29" s="27"/>
      <c r="F29" s="27"/>
      <c r="G29" s="27"/>
      <c r="H29" s="27"/>
    </row>
    <row r="30" spans="2:9" x14ac:dyDescent="0.25">
      <c r="B30" s="263"/>
      <c r="C30" s="16" t="s">
        <v>147</v>
      </c>
      <c r="D30" s="21" t="s">
        <v>18</v>
      </c>
      <c r="E30" s="27"/>
      <c r="F30" s="27"/>
      <c r="G30" s="27"/>
      <c r="H30" s="27"/>
    </row>
    <row r="31" spans="2:9" x14ac:dyDescent="0.25">
      <c r="B31" s="264"/>
      <c r="C31" s="16" t="s">
        <v>148</v>
      </c>
      <c r="D31" s="21" t="s">
        <v>18</v>
      </c>
      <c r="E31" s="27"/>
      <c r="F31" s="27"/>
      <c r="G31" s="27"/>
      <c r="H31" s="27"/>
    </row>
    <row r="32" spans="2:9" x14ac:dyDescent="0.25">
      <c r="B32" s="262" t="s">
        <v>150</v>
      </c>
      <c r="C32" s="16" t="s">
        <v>146</v>
      </c>
      <c r="D32" s="21" t="s">
        <v>70</v>
      </c>
      <c r="E32" s="27"/>
      <c r="F32" s="27"/>
      <c r="G32" s="27"/>
      <c r="H32" s="27"/>
    </row>
    <row r="33" spans="2:8" x14ac:dyDescent="0.25">
      <c r="B33" s="263"/>
      <c r="C33" s="16" t="s">
        <v>147</v>
      </c>
      <c r="D33" s="21" t="s">
        <v>18</v>
      </c>
      <c r="E33" s="27"/>
      <c r="F33" s="27"/>
      <c r="G33" s="27"/>
      <c r="H33" s="27"/>
    </row>
    <row r="34" spans="2:8" x14ac:dyDescent="0.25">
      <c r="B34" s="264"/>
      <c r="C34" s="16" t="s">
        <v>148</v>
      </c>
      <c r="D34" s="21" t="s">
        <v>18</v>
      </c>
      <c r="E34" s="27"/>
      <c r="F34" s="27"/>
      <c r="G34" s="27"/>
      <c r="H34" s="27"/>
    </row>
    <row r="35" spans="2:8" x14ac:dyDescent="0.25">
      <c r="B35" s="262" t="s">
        <v>151</v>
      </c>
      <c r="C35" s="16" t="s">
        <v>146</v>
      </c>
      <c r="D35" s="21" t="s">
        <v>70</v>
      </c>
      <c r="E35" s="27"/>
      <c r="F35" s="27"/>
      <c r="G35" s="27"/>
      <c r="H35" s="27"/>
    </row>
    <row r="36" spans="2:8" x14ac:dyDescent="0.25">
      <c r="B36" s="263"/>
      <c r="C36" s="16" t="s">
        <v>147</v>
      </c>
      <c r="D36" s="21" t="s">
        <v>18</v>
      </c>
      <c r="E36" s="27"/>
      <c r="F36" s="27"/>
      <c r="G36" s="27"/>
      <c r="H36" s="27"/>
    </row>
    <row r="37" spans="2:8" x14ac:dyDescent="0.25">
      <c r="B37" s="264"/>
      <c r="C37" s="16" t="s">
        <v>148</v>
      </c>
      <c r="D37" s="21" t="s">
        <v>18</v>
      </c>
      <c r="E37" s="27"/>
      <c r="F37" s="27"/>
      <c r="G37" s="27"/>
      <c r="H37" s="27"/>
    </row>
    <row r="38" spans="2:8" x14ac:dyDescent="0.25">
      <c r="B38" s="16" t="s">
        <v>121</v>
      </c>
      <c r="C38" s="16" t="s">
        <v>122</v>
      </c>
      <c r="D38" s="21" t="s">
        <v>123</v>
      </c>
      <c r="E38" s="27" t="s">
        <v>124</v>
      </c>
      <c r="F38" s="27" t="s">
        <v>124</v>
      </c>
      <c r="G38" s="27"/>
      <c r="H38" s="27"/>
    </row>
    <row r="39" spans="2:8" x14ac:dyDescent="0.25">
      <c r="B39" s="16" t="s">
        <v>125</v>
      </c>
      <c r="C39" s="16" t="s">
        <v>126</v>
      </c>
      <c r="D39" s="21"/>
      <c r="E39" s="27" t="s">
        <v>127</v>
      </c>
      <c r="F39" s="27" t="s">
        <v>127</v>
      </c>
      <c r="G39" s="27"/>
      <c r="H39" s="27"/>
    </row>
    <row r="40" spans="2:8" x14ac:dyDescent="0.25">
      <c r="B40" s="262" t="s">
        <v>128</v>
      </c>
      <c r="C40" s="16" t="s">
        <v>129</v>
      </c>
      <c r="D40" s="21" t="s">
        <v>18</v>
      </c>
      <c r="E40" s="27" t="s">
        <v>130</v>
      </c>
      <c r="F40" s="27" t="s">
        <v>130</v>
      </c>
      <c r="G40" s="27"/>
      <c r="H40" s="27"/>
    </row>
    <row r="41" spans="2:8" x14ac:dyDescent="0.25">
      <c r="B41" s="263"/>
      <c r="C41" s="16" t="s">
        <v>131</v>
      </c>
      <c r="D41" s="21" t="s">
        <v>70</v>
      </c>
      <c r="E41" s="28">
        <v>1.2E-2</v>
      </c>
      <c r="F41" s="28">
        <v>1.2E-2</v>
      </c>
      <c r="G41" s="27"/>
      <c r="H41" s="27"/>
    </row>
    <row r="42" spans="2:8" x14ac:dyDescent="0.25">
      <c r="B42" s="263"/>
      <c r="C42" s="16" t="s">
        <v>132</v>
      </c>
      <c r="D42" s="21" t="s">
        <v>70</v>
      </c>
      <c r="E42" s="28">
        <v>1.2999999999999999E-2</v>
      </c>
      <c r="F42" s="28">
        <v>1.2999999999999999E-2</v>
      </c>
      <c r="G42" s="27"/>
      <c r="H42" s="27"/>
    </row>
    <row r="43" spans="2:8" x14ac:dyDescent="0.25">
      <c r="B43" s="263"/>
      <c r="C43" s="16" t="s">
        <v>133</v>
      </c>
      <c r="D43" s="21" t="s">
        <v>70</v>
      </c>
      <c r="E43" s="28">
        <v>1.2999999999999999E-2</v>
      </c>
      <c r="F43" s="28">
        <v>1.2999999999999999E-2</v>
      </c>
      <c r="G43" s="27"/>
      <c r="H43" s="27"/>
    </row>
    <row r="44" spans="2:8" x14ac:dyDescent="0.25">
      <c r="B44" s="263"/>
      <c r="C44" s="16" t="s">
        <v>134</v>
      </c>
      <c r="D44" s="21" t="s">
        <v>70</v>
      </c>
      <c r="E44" s="28">
        <v>0</v>
      </c>
      <c r="F44" s="28">
        <v>0</v>
      </c>
      <c r="G44" s="27"/>
      <c r="H44" s="27"/>
    </row>
    <row r="45" spans="2:8" x14ac:dyDescent="0.25">
      <c r="B45" s="263"/>
      <c r="C45" s="16" t="s">
        <v>135</v>
      </c>
      <c r="D45" s="21" t="s">
        <v>80</v>
      </c>
      <c r="E45" s="27" t="s">
        <v>127</v>
      </c>
      <c r="F45" s="27" t="s">
        <v>127</v>
      </c>
      <c r="G45" s="27"/>
      <c r="H45" s="27"/>
    </row>
    <row r="46" spans="2:8" x14ac:dyDescent="0.25">
      <c r="B46" s="264"/>
      <c r="C46" s="16" t="s">
        <v>136</v>
      </c>
      <c r="D46" s="21" t="s">
        <v>80</v>
      </c>
      <c r="E46" s="27" t="s">
        <v>127</v>
      </c>
      <c r="F46" s="27" t="s">
        <v>127</v>
      </c>
      <c r="G46" s="27"/>
      <c r="H46" s="27"/>
    </row>
  </sheetData>
  <mergeCells count="16">
    <mergeCell ref="E2:F2"/>
    <mergeCell ref="B40:B46"/>
    <mergeCell ref="B25:H25"/>
    <mergeCell ref="B26:B28"/>
    <mergeCell ref="B29:B31"/>
    <mergeCell ref="B32:B34"/>
    <mergeCell ref="B35:B37"/>
    <mergeCell ref="B13:B15"/>
    <mergeCell ref="B16:B18"/>
    <mergeCell ref="B19:B21"/>
    <mergeCell ref="B22:B24"/>
    <mergeCell ref="B3:C3"/>
    <mergeCell ref="B4:B5"/>
    <mergeCell ref="B6:B8"/>
    <mergeCell ref="B9:B11"/>
    <mergeCell ref="B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8BB1-4709-4FB2-8D6F-3450DD39A5F1}">
  <dimension ref="A2:AF117"/>
  <sheetViews>
    <sheetView tabSelected="1" zoomScale="40" zoomScaleNormal="40" workbookViewId="0">
      <pane xSplit="4" topLeftCell="E1" activePane="topRight" state="frozen"/>
      <selection pane="topRight" activeCell="B64" sqref="B64:AE117"/>
    </sheetView>
  </sheetViews>
  <sheetFormatPr defaultColWidth="9.140625" defaultRowHeight="15" x14ac:dyDescent="0.25"/>
  <cols>
    <col min="1" max="1" width="3.42578125" style="1" customWidth="1"/>
    <col min="2" max="2" width="10.85546875" style="1" customWidth="1"/>
    <col min="3" max="3" width="11.5703125" style="1" customWidth="1"/>
    <col min="4" max="4" width="17.42578125" style="1" customWidth="1"/>
    <col min="5" max="10" width="9.5703125" style="1" customWidth="1"/>
    <col min="11" max="16384" width="9.140625" style="1"/>
  </cols>
  <sheetData>
    <row r="2" spans="1:31" x14ac:dyDescent="0.25">
      <c r="B2" s="30" t="s">
        <v>153</v>
      </c>
    </row>
    <row r="3" spans="1:31" x14ac:dyDescent="0.25">
      <c r="B3" s="1" t="s">
        <v>154</v>
      </c>
      <c r="C3" s="1" t="s">
        <v>155</v>
      </c>
    </row>
    <row r="4" spans="1:31" x14ac:dyDescent="0.25">
      <c r="B4" s="1" t="s">
        <v>156</v>
      </c>
      <c r="C4" s="1" t="s">
        <v>157</v>
      </c>
      <c r="I4" s="230"/>
    </row>
    <row r="5" spans="1:31" x14ac:dyDescent="0.25">
      <c r="B5" s="1" t="s">
        <v>158</v>
      </c>
      <c r="C5" s="1" t="s">
        <v>159</v>
      </c>
    </row>
    <row r="7" spans="1:31" x14ac:dyDescent="0.25">
      <c r="B7" s="25"/>
      <c r="C7" s="25"/>
      <c r="D7" s="25"/>
      <c r="E7" s="25"/>
      <c r="F7" s="25"/>
      <c r="G7" s="25"/>
      <c r="H7" s="25"/>
      <c r="I7" s="25"/>
      <c r="J7" s="25"/>
    </row>
    <row r="8" spans="1:31" x14ac:dyDescent="0.25">
      <c r="A8" s="31"/>
      <c r="B8" s="284" t="s">
        <v>160</v>
      </c>
      <c r="C8" s="285"/>
      <c r="D8" s="286"/>
      <c r="E8" s="284">
        <v>25</v>
      </c>
      <c r="F8" s="274"/>
      <c r="G8" s="275"/>
      <c r="H8" s="273">
        <v>35</v>
      </c>
      <c r="I8" s="274"/>
      <c r="J8" s="275"/>
      <c r="K8" s="284">
        <v>40</v>
      </c>
      <c r="L8" s="274"/>
      <c r="M8" s="275"/>
      <c r="N8" s="273">
        <v>45</v>
      </c>
      <c r="O8" s="274"/>
      <c r="P8" s="275"/>
      <c r="Q8" s="273">
        <v>50</v>
      </c>
      <c r="R8" s="274"/>
      <c r="S8" s="275"/>
      <c r="T8" s="273">
        <v>55</v>
      </c>
      <c r="U8" s="274"/>
      <c r="V8" s="275"/>
      <c r="W8" s="273">
        <v>60</v>
      </c>
      <c r="X8" s="274"/>
      <c r="Y8" s="275"/>
      <c r="Z8" s="273">
        <v>65</v>
      </c>
      <c r="AA8" s="274"/>
      <c r="AB8" s="275"/>
      <c r="AC8" s="273">
        <v>70</v>
      </c>
      <c r="AD8" s="274"/>
      <c r="AE8" s="275"/>
    </row>
    <row r="9" spans="1:31" s="15" customFormat="1" ht="45" x14ac:dyDescent="0.25">
      <c r="A9" s="32"/>
      <c r="B9" s="52" t="s">
        <v>7</v>
      </c>
      <c r="C9" s="287" t="s">
        <v>161</v>
      </c>
      <c r="D9" s="288"/>
      <c r="E9" s="47" t="s">
        <v>162</v>
      </c>
      <c r="F9" s="62" t="s">
        <v>163</v>
      </c>
      <c r="G9" s="46" t="s">
        <v>164</v>
      </c>
      <c r="H9" s="47" t="s">
        <v>162</v>
      </c>
      <c r="I9" s="62" t="s">
        <v>163</v>
      </c>
      <c r="J9" s="46" t="s">
        <v>164</v>
      </c>
      <c r="K9" s="47" t="s">
        <v>162</v>
      </c>
      <c r="L9" s="62" t="s">
        <v>163</v>
      </c>
      <c r="M9" s="46" t="s">
        <v>164</v>
      </c>
      <c r="N9" s="47" t="s">
        <v>162</v>
      </c>
      <c r="O9" s="62" t="s">
        <v>163</v>
      </c>
      <c r="P9" s="46" t="s">
        <v>164</v>
      </c>
      <c r="Q9" s="47" t="s">
        <v>162</v>
      </c>
      <c r="R9" s="62" t="s">
        <v>163</v>
      </c>
      <c r="S9" s="46" t="s">
        <v>164</v>
      </c>
      <c r="T9" s="47" t="s">
        <v>162</v>
      </c>
      <c r="U9" s="62" t="s">
        <v>163</v>
      </c>
      <c r="V9" s="46" t="s">
        <v>164</v>
      </c>
      <c r="W9" s="47" t="s">
        <v>162</v>
      </c>
      <c r="X9" s="62" t="s">
        <v>163</v>
      </c>
      <c r="Y9" s="46" t="s">
        <v>164</v>
      </c>
      <c r="Z9" s="47" t="s">
        <v>162</v>
      </c>
      <c r="AA9" s="62" t="s">
        <v>163</v>
      </c>
      <c r="AB9" s="46" t="s">
        <v>164</v>
      </c>
      <c r="AC9" s="47" t="s">
        <v>162</v>
      </c>
      <c r="AD9" s="62" t="s">
        <v>163</v>
      </c>
      <c r="AE9" s="46" t="s">
        <v>164</v>
      </c>
    </row>
    <row r="10" spans="1:31" x14ac:dyDescent="0.25">
      <c r="A10" s="31"/>
      <c r="B10" s="276" t="s">
        <v>23</v>
      </c>
      <c r="C10" s="279" t="s">
        <v>165</v>
      </c>
      <c r="D10" s="37">
        <v>-20</v>
      </c>
      <c r="E10" s="83" cm="1">
        <f t="array" ref="E10">INDEX(_xlfn._xlws.FILTER(CapacityTable[], (CapacityTable[Model] = $B$10) * (CapacityTable[T ext] = $D10) * (CapacityTable[T water out] = $E$8) * (CapacityTable[Type] = $C$10),Tableau2[]),1,5)</f>
        <v>3.4602004857808</v>
      </c>
      <c r="F10" s="84" cm="1">
        <f t="array" ref="F10">INDEX(_xlfn._xlws.FILTER(CapacityTable[], (CapacityTable[Model] = $B$10) * (CapacityTable[T ext] = $D10) * (CapacityTable[T water out] = $E$8) * (CapacityTable[Type] = $C$10),Tableau2[]),1,6)</f>
        <v>1.4887389475522108</v>
      </c>
      <c r="G10" s="85" cm="1">
        <f t="array" ref="G10">INDEX(_xlfn._xlws.FILTER(CapacityTable[], (CapacityTable[Model] = $B$10) * (CapacityTable[T ext] = $D10) * (CapacityTable[T water out] = $E$8) * (CapacityTable[Type] = $C$10),Tableau2[]),1,7)</f>
        <v>2.3011166480996801</v>
      </c>
      <c r="H10" s="83" cm="1">
        <f t="array" ref="H10">INDEX(_xlfn._xlws.FILTER(CapacityTable[], (CapacityTable[Model] = $B$10) * (CapacityTable[T ext] = $D10) * (CapacityTable[T water out] = $H$8) * (CapacityTable[Type] = $C$10),Tableau2[]),1,5)</f>
        <v>3.3883794661585598</v>
      </c>
      <c r="I10" s="84" cm="1">
        <f t="array" ref="I10">INDEX(_xlfn._xlws.FILTER(CapacityTable[], (CapacityTable[Model] = $B$10) * (CapacityTable[T ext] = $D10) * (CapacityTable[T water out] = $H$8) * (CapacityTable[Type] = $C$10),Tableau2[]),1,6)</f>
        <v>1.6980360405237531</v>
      </c>
      <c r="J10" s="85" cm="1">
        <f t="array" ref="J10">INDEX(_xlfn._xlws.FILTER(CapacityTable[], (CapacityTable[Model] = $B$10) * (CapacityTable[T ext] = $D10) * (CapacityTable[T water out] = $H$8) * (CapacityTable[Type] = $C$10),Tableau2[]),1,7)</f>
        <v>1.97970389521681</v>
      </c>
      <c r="K10" s="83" cm="1">
        <f t="array" ref="K10">INDEX(_xlfn._xlws.FILTER(CapacityTable[], (CapacityTable[Model] = $B$10) * (CapacityTable[T ext] = $D10) * (CapacityTable[T water out] = $K$8) * (CapacityTable[Type] = $C$10),Tableau2[]),1,5)</f>
        <v>3.36701748159027</v>
      </c>
      <c r="L10" s="84" cm="1">
        <f t="array" ref="L10">INDEX(_xlfn._xlws.FILTER(CapacityTable[], (CapacityTable[Model] = $B$10) * (CapacityTable[T ext] = $D10) * (CapacityTable[T water out] = $K$8) * (CapacityTable[Type] = $C$10),Tableau2[]),1,6)</f>
        <v>1.7988321396321705</v>
      </c>
      <c r="M10" s="85" cm="1">
        <f t="array" ref="M10">INDEX(_xlfn._xlws.FILTER(CapacityTable[], (CapacityTable[Model] = $B$10) * (CapacityTable[T ext] = $D10) * (CapacityTable[T water out] = $K$8) * (CapacityTable[Type] = $C$10),Tableau2[]),1,7)</f>
        <v>1.85849280366992</v>
      </c>
      <c r="N10" s="83" cm="1">
        <f t="array" ref="N10">INDEX(_xlfn._xlws.FILTER(CapacityTable[], (CapacityTable[Model] = $B$10) * (CapacityTable[T ext] = $D10) * (CapacityTable[T water out] = $N$8) * (CapacityTable[Type] = $C$10),Tableau2[]),1,5)</f>
        <v>3.34880626353561</v>
      </c>
      <c r="O10" s="84" cm="1">
        <f t="array" ref="O10">INDEX(_xlfn._xlws.FILTER(CapacityTable[], (CapacityTable[Model] = $B$10) * (CapacityTable[T ext] = $D10) * (CapacityTable[T water out] = $N$8) * (CapacityTable[Type] = $C$10),Tableau2[]),1,6)</f>
        <v>1.9004816956268071</v>
      </c>
      <c r="P10" s="85" cm="1">
        <f t="array" ref="P10">INDEX(_xlfn._xlws.FILTER(CapacityTable[], (CapacityTable[Model] = $B$10) * (CapacityTable[T ext] = $D10) * (CapacityTable[T water out] = $N$8) * (CapacityTable[Type] = $C$10),Tableau2[]),1,7)</f>
        <v>1.75084466488669</v>
      </c>
      <c r="Q10" s="101" cm="1">
        <f t="array" ref="Q10">INDEX(_xlfn._xlws.FILTER(CapacityTable[], (CapacityTable[Model] = $B$10) * (CapacityTable[T ext] = $D10) * (CapacityTable[T water out] = $Q$8) * (CapacityTable[Type] = $C$10),Tableau2[]),1,5)</f>
        <v>3.3352765072326802</v>
      </c>
      <c r="R10" s="102" cm="1">
        <f t="array" ref="R10">INDEX(_xlfn._xlws.FILTER(CapacityTable[], (CapacityTable[Model] = $B$10) * (CapacityTable[T ext] = $D10) * (CapacityTable[T water out] = $Q$8) * (CapacityTable[Type] = $C$10),Tableau2[]),1,6)</f>
        <v>1.9895857493455418</v>
      </c>
      <c r="S10" s="103" cm="1">
        <f t="array" ref="S10">INDEX(_xlfn._xlws.FILTER(CapacityTable[], (CapacityTable[Model] = $B$10) * (CapacityTable[T ext] = $D10) * (CapacityTable[T water out] = $Q$8) * (CapacityTable[Type] = $C$10),Tableau2[]),1,7)</f>
        <v>1.6677328220493499</v>
      </c>
      <c r="T10" s="101" cm="1">
        <f t="array" ref="T10">INDEX(_xlfn._xlws.FILTER(CapacityTable[], (CapacityTable[Model] = $B$10) * (CapacityTable[T ext] = $D10) * (CapacityTable[T water out] = $T$8) * (CapacityTable[Type] = $C$10),Tableau2[]),1,5)</f>
        <v>3.3149396764039998</v>
      </c>
      <c r="U10" s="102" cm="1">
        <f t="array" ref="U10">INDEX(_xlfn._xlws.FILTER(CapacityTable[], (CapacityTable[Model] = $B$10) * (CapacityTable[T ext] = $D10) * (CapacityTable[T water out] = $T$8) * (CapacityTable[Type] = $C$10),Tableau2[]),1,6)</f>
        <v>2.0987263517028358</v>
      </c>
      <c r="V10" s="103" cm="1">
        <f t="array" ref="V10">INDEX(_xlfn._xlws.FILTER(CapacityTable[], (CapacityTable[Model] = $B$10) * (CapacityTable[T ext] = $D10) * (CapacityTable[T water out] = $T$8) * (CapacityTable[Type] = $C$10),Tableau2[]),1,7)</f>
        <v>1.57226669769627</v>
      </c>
      <c r="W10" s="101" cm="1">
        <f t="array" ref="W10">INDEX(_xlfn._xlws.FILTER(CapacityTable[], (CapacityTable[Model] = $B$10) * (CapacityTable[T ext] = $D10) * (CapacityTable[T water out] = $W$8) * (CapacityTable[Type] = $C$10),Tableau2[]),1,5)</f>
        <v>3.2914957200711701</v>
      </c>
      <c r="X10" s="102" cm="1">
        <f t="array" ref="X10">INDEX(_xlfn._xlws.FILTER(CapacityTable[], (CapacityTable[Model] = $B$10) * (CapacityTable[T ext] = $D10) * (CapacityTable[T water out] = $W$8) * (CapacityTable[Type] = $C$10),Tableau2[]),1,6)</f>
        <v>2.2154494301332313</v>
      </c>
      <c r="Y10" s="103" cm="1">
        <f t="array" ref="Y10">INDEX(_xlfn._xlws.FILTER(CapacityTable[], (CapacityTable[Model] = $B$10) * (CapacityTable[T ext] = $D10) * (CapacityTable[T water out] = $W$8) * (CapacityTable[Type] = $C$10),Tableau2[]),1,7)</f>
        <v>1.4797220660819701</v>
      </c>
      <c r="Z10" s="101" cm="1">
        <f t="array" ref="Z10">INDEX(_xlfn._xlws.FILTER(CapacityTable[], (CapacityTable[Model] = $B$10) * (CapacityTable[T ext] = $D10) * (CapacityTable[T water out] = $Z$8) * (CapacityTable[Type] = $C$10),Tableau2[]),1,5)</f>
        <v>3.1815313843973301</v>
      </c>
      <c r="AA10" s="102" cm="1">
        <f t="array" ref="AA10">INDEX(_xlfn._xlws.FILTER(CapacityTable[], (CapacityTable[Model] = $B$10) * (CapacityTable[T ext] = $D10) * (CapacityTable[T water out] = $Z$8) * (CapacityTable[Type] = $C$10),Tableau2[]),1,6)</f>
        <v>2.2954680840218247</v>
      </c>
      <c r="AB10" s="103" cm="1">
        <f t="array" ref="AB10">INDEX(_xlfn._xlws.FILTER(CapacityTable[], (CapacityTable[Model] = $B$10) * (CapacityTable[T ext] = $D10) * (CapacityTable[T water out] = $Z$8) * (CapacityTable[Type] = $C$10),Tableau2[]),1,7)</f>
        <v>1.38113325917337</v>
      </c>
      <c r="AC10" s="101" t="str" cm="1">
        <f t="array" ref="AC10">INDEX(_xlfn._xlws.FILTER(CapacityTable[], (CapacityTable[Model] = $B$10) * (CapacityTable[T ext] = $D10) * (CapacityTable[T water out] = $AC$8) * (CapacityTable[Type] = $C$10),Tableau2[]),1,5)</f>
        <v>N.A.</v>
      </c>
      <c r="AD10" s="102" t="str" cm="1">
        <f t="array" ref="AD10">INDEX(_xlfn._xlws.FILTER(CapacityTable[], (CapacityTable[Model] = $B$10) * (CapacityTable[T ext] = $D10) * (CapacityTable[T water out] = $AC$8) * (CapacityTable[Type] = $C$10),Tableau2[]),1,6)</f>
        <v>N.A.</v>
      </c>
      <c r="AE10" s="103" t="str" cm="1">
        <f t="array" ref="AE10">INDEX(_xlfn._xlws.FILTER(CapacityTable[], (CapacityTable[Model] = $B$10) * (CapacityTable[T ext] = $D10) * (CapacityTable[T water out] = $AC$8) * (CapacityTable[Type] = $C$10),Tableau2[]),1,7)</f>
        <v>N.A.</v>
      </c>
    </row>
    <row r="11" spans="1:31" x14ac:dyDescent="0.25">
      <c r="A11" s="31"/>
      <c r="B11" s="277"/>
      <c r="C11" s="280"/>
      <c r="D11" s="38">
        <v>-15</v>
      </c>
      <c r="E11" s="86" cm="1">
        <f t="array" ref="E11">INDEX(_xlfn._xlws.FILTER(CapacityTable[], (CapacityTable[Model] = $B$10) * (CapacityTable[T ext] = $D11) * (CapacityTable[T water out] = $E$8) * (CapacityTable[Type] = $C$10),Tableau2[]),1,5)</f>
        <v>4.3297103724832899</v>
      </c>
      <c r="F11" s="77" cm="1">
        <f t="array" ref="F11">INDEX(_xlfn._xlws.FILTER(CapacityTable[], (CapacityTable[Model] = $B$10) * (CapacityTable[T ext] = $D11) * (CapacityTable[T water out] = $E$8) * (CapacityTable[Type] = $C$10),Tableau2[]),1,6)</f>
        <v>1.6193364616963244</v>
      </c>
      <c r="G11" s="87" cm="1">
        <f t="array" ref="G11">INDEX(_xlfn._xlws.FILTER(CapacityTable[], (CapacityTable[Model] = $B$10) * (CapacityTable[T ext] = $D11) * (CapacityTable[T water out] = $E$8) * (CapacityTable[Type] = $C$10),Tableau2[]),1,7)</f>
        <v>2.6476319823051901</v>
      </c>
      <c r="H11" s="86" cm="1">
        <f t="array" ref="H11">INDEX(_xlfn._xlws.FILTER(CapacityTable[], (CapacityTable[Model] = $B$10) * (CapacityTable[T ext] = $D11) * (CapacityTable[T water out] = $H$8) * (CapacityTable[Type] = $C$10),Tableau2[]),1,5)</f>
        <v>4.1958971529614004</v>
      </c>
      <c r="I11" s="77" cm="1">
        <f t="array" ref="I11">INDEX(_xlfn._xlws.FILTER(CapacityTable[], (CapacityTable[Model] = $B$10) * (CapacityTable[T ext] = $D11) * (CapacityTable[T water out] = $H$8) * (CapacityTable[Type] = $C$10),Tableau2[]),1,6)</f>
        <v>1.858697464657534</v>
      </c>
      <c r="J11" s="87" cm="1">
        <f t="array" ref="J11">INDEX(_xlfn._xlws.FILTER(CapacityTable[], (CapacityTable[Model] = $B$10) * (CapacityTable[T ext] = $D11) * (CapacityTable[T water out] = $H$8) * (CapacityTable[Type] = $C$10),Tableau2[]),1,7)</f>
        <v>2.2396745582884101</v>
      </c>
      <c r="K11" s="75" cm="1">
        <f t="array" ref="K11">INDEX(_xlfn._xlws.FILTER(CapacityTable[], (CapacityTable[Model] = $B$10) * (CapacityTable[T ext] = $D11) * (CapacityTable[T water out] = $K$8) * (CapacityTable[Type] = $C$10),Tableau2[]),1,5)</f>
        <v>4.1455540551979499</v>
      </c>
      <c r="L11" s="77" cm="1">
        <f t="array" ref="L11">INDEX(_xlfn._xlws.FILTER(CapacityTable[], (CapacityTable[Model] = $B$10) * (CapacityTable[T ext] = $D11) * (CapacityTable[T water out] = $K$8) * (CapacityTable[Type] = $C$10),Tableau2[]),1,6)</f>
        <v>1.9749279514591518</v>
      </c>
      <c r="M11" s="78" cm="1">
        <f t="array" ref="M11">INDEX(_xlfn._xlws.FILTER(CapacityTable[], (CapacityTable[Model] = $B$10) * (CapacityTable[T ext] = $D11) * (CapacityTable[T water out] = $K$8) * (CapacityTable[Type] = $C$10),Tableau2[]),1,7)</f>
        <v>2.0841935191083398</v>
      </c>
      <c r="N11" s="75" cm="1">
        <f t="array" ref="N11">INDEX(_xlfn._xlws.FILTER(CapacityTable[], (CapacityTable[Model] = $B$10) * (CapacityTable[T ext] = $D11) * (CapacityTable[T water out] = $N$8) * (CapacityTable[Type] = $C$10),Tableau2[]),1,5)</f>
        <v>4.1002655822859193</v>
      </c>
      <c r="O11" s="77" cm="1">
        <f t="array" ref="O11">INDEX(_xlfn._xlws.FILTER(CapacityTable[], (CapacityTable[Model] = $B$10) * (CapacityTable[T ext] = $D11) * (CapacityTable[T water out] = $N$8) * (CapacityTable[Type] = $C$10),Tableau2[]),1,6)</f>
        <v>2.092189694475413</v>
      </c>
      <c r="P11" s="78" cm="1">
        <f t="array" ref="P11">INDEX(_xlfn._xlws.FILTER(CapacityTable[], (CapacityTable[Model] = $B$10) * (CapacityTable[T ext] = $D11) * (CapacityTable[T water out] = $N$8) * (CapacityTable[Type] = $C$10),Tableau2[]),1,7)</f>
        <v>1.9472573806914399</v>
      </c>
      <c r="Q11" s="164" cm="1">
        <f t="array" ref="Q11">INDEX(_xlfn._xlws.FILTER(CapacityTable[], (CapacityTable[Model] = $B$10) * (CapacityTable[T ext] = $D11) * (CapacityTable[T water out] = $Q$8) * (CapacityTable[Type] = $C$10),Tableau2[]),1,5)</f>
        <v>4.0693861714589099</v>
      </c>
      <c r="R11" s="97" cm="1">
        <f t="array" ref="R11">INDEX(_xlfn._xlws.FILTER(CapacityTable[], (CapacityTable[Model] = $B$10) * (CapacityTable[T ext] = $D11) * (CapacityTable[T water out] = $Q$8) * (CapacityTable[Type] = $C$10),Tableau2[]),1,6)</f>
        <v>2.1825118253018436</v>
      </c>
      <c r="S11" s="165" cm="1">
        <f t="array" ref="S11">INDEX(_xlfn._xlws.FILTER(CapacityTable[], (CapacityTable[Model] = $B$10) * (CapacityTable[T ext] = $D11) * (CapacityTable[T water out] = $Q$8) * (CapacityTable[Type] = $C$10),Tableau2[]),1,7)</f>
        <v>1.8547416117590301</v>
      </c>
      <c r="T11" s="75" cm="1">
        <f t="array" ref="T11">INDEX(_xlfn._xlws.FILTER(CapacityTable[], (CapacityTable[Model] = $B$10) * (CapacityTable[T ext] = $D11) * (CapacityTable[T water out] = $T$8) * (CapacityTable[Type] = $C$10),Tableau2[]),1,5)</f>
        <v>4.02655547762319</v>
      </c>
      <c r="U11" s="77" cm="1">
        <f t="array" ref="U11">INDEX(_xlfn._xlws.FILTER(CapacityTable[], (CapacityTable[Model] = $B$10) * (CapacityTable[T ext] = $D11) * (CapacityTable[T water out] = $T$8) * (CapacityTable[Type] = $C$10),Tableau2[]),1,6)</f>
        <v>2.3063165457620713</v>
      </c>
      <c r="V11" s="78" cm="1">
        <f t="array" ref="V11">INDEX(_xlfn._xlws.FILTER(CapacityTable[], (CapacityTable[Model] = $B$10) * (CapacityTable[T ext] = $D11) * (CapacityTable[T water out] = $T$8) * (CapacityTable[Type] = $C$10),Tableau2[]),1,7)</f>
        <v>1.7377192921457301</v>
      </c>
      <c r="W11" s="75" cm="1">
        <f t="array" ref="W11">INDEX(_xlfn._xlws.FILTER(CapacityTable[], (CapacityTable[Model] = $B$10) * (CapacityTable[T ext] = $D11) * (CapacityTable[T water out] = $W$8) * (CapacityTable[Type] = $C$10),Tableau2[]),1,5)</f>
        <v>3.98334677825122</v>
      </c>
      <c r="X11" s="77" cm="1">
        <f t="array" ref="X11">INDEX(_xlfn._xlws.FILTER(CapacityTable[], (CapacityTable[Model] = $B$10) * (CapacityTable[T ext] = $D11) * (CapacityTable[T water out] = $W$8) * (CapacityTable[Type] = $C$10),Tableau2[]),1,6)</f>
        <v>2.436158625467427</v>
      </c>
      <c r="Y11" s="78" cm="1">
        <f t="array" ref="Y11">INDEX(_xlfn._xlws.FILTER(CapacityTable[], (CapacityTable[Model] = $B$10) * (CapacityTable[T ext] = $D11) * (CapacityTable[T water out] = $W$8) * (CapacityTable[Type] = $C$10),Tableau2[]),1,7)</f>
        <v>1.6283795574311799</v>
      </c>
      <c r="Z11" s="75" cm="1">
        <f t="array" ref="Z11">INDEX(_xlfn._xlws.FILTER(CapacityTable[], (CapacityTable[Model] = $B$10) * (CapacityTable[T ext] = $D11) * (CapacityTable[T water out] = $Z$8) * (CapacityTable[Type] = $C$10),Tableau2[]),1,5)</f>
        <v>3.9385265416778701</v>
      </c>
      <c r="AA11" s="77" cm="1">
        <f t="array" ref="AA11">INDEX(_xlfn._xlws.FILTER(CapacityTable[], (CapacityTable[Model] = $B$10) * (CapacityTable[T ext] = $D11) * (CapacityTable[T water out] = $Z$8) * (CapacityTable[Type] = $C$10),Tableau2[]),1,6)</f>
        <v>2.5768729175267784</v>
      </c>
      <c r="AB11" s="78" cm="1">
        <f t="array" ref="AB11">INDEX(_xlfn._xlws.FILTER(CapacityTable[], (CapacityTable[Model] = $B$10) * (CapacityTable[T ext] = $D11) * (CapacityTable[T water out] = $Z$8) * (CapacityTable[Type] = $C$10),Tableau2[]),1,7)</f>
        <v>1.5229220509200101</v>
      </c>
      <c r="AC11" s="75" t="str" cm="1">
        <f t="array" ref="AC11">INDEX(_xlfn._xlws.FILTER(CapacityTable[], (CapacityTable[Model] = $B$10) * (CapacityTable[T ext] = $D11) * (CapacityTable[T water out] = $AC$8) * (CapacityTable[Type] = $C$10),Tableau2[]),1,5)</f>
        <v>N.A.</v>
      </c>
      <c r="AD11" s="77" t="str" cm="1">
        <f t="array" ref="AD11">INDEX(_xlfn._xlws.FILTER(CapacityTable[], (CapacityTable[Model] = $B$10) * (CapacityTable[T ext] = $D11) * (CapacityTable[T water out] = $AC$8) * (CapacityTable[Type] = $C$10),Tableau2[]),1,6)</f>
        <v>N.A.</v>
      </c>
      <c r="AE11" s="78" t="str" cm="1">
        <f t="array" ref="AE11">INDEX(_xlfn._xlws.FILTER(CapacityTable[], (CapacityTable[Model] = $B$10) * (CapacityTable[T ext] = $D11) * (CapacityTable[T water out] = $AC$8) * (CapacityTable[Type] = $C$10),Tableau2[]),1,7)</f>
        <v>N.A.</v>
      </c>
    </row>
    <row r="12" spans="1:31" x14ac:dyDescent="0.25">
      <c r="A12" s="31"/>
      <c r="B12" s="277"/>
      <c r="C12" s="280"/>
      <c r="D12" s="38">
        <v>-10</v>
      </c>
      <c r="E12" s="86" cm="1">
        <f t="array" ref="E12">INDEX(_xlfn._xlws.FILTER(CapacityTable[], (CapacityTable[Model] = $B$10) * (CapacityTable[T ext] = $D12) * (CapacityTable[T water out] = $E$8) * (CapacityTable[Type] = $C$10),Tableau2[]),1,5)</f>
        <v>5.3951766988898999</v>
      </c>
      <c r="F12" s="77" cm="1">
        <f t="array" ref="F12">INDEX(_xlfn._xlws.FILTER(CapacityTable[], (CapacityTable[Model] = $B$10) * (CapacityTable[T ext] = $D12) * (CapacityTable[T water out] = $E$8) * (CapacityTable[Type] = $C$10),Tableau2[]),1,6)</f>
        <v>1.7544784352456266</v>
      </c>
      <c r="G12" s="87" cm="1">
        <f t="array" ref="G12">INDEX(_xlfn._xlws.FILTER(CapacityTable[], (CapacityTable[Model] = $B$10) * (CapacityTable[T ext] = $D12) * (CapacityTable[T water out] = $E$8) * (CapacityTable[Type] = $C$10),Tableau2[]),1,7)</f>
        <v>3.0513876701359699</v>
      </c>
      <c r="H12" s="86" cm="1">
        <f t="array" ref="H12">INDEX(_xlfn._xlws.FILTER(CapacityTable[], (CapacityTable[Model] = $B$10) * (CapacityTable[T ext] = $D12) * (CapacityTable[T water out] = $H$8) * (CapacityTable[Type] = $C$10),Tableau2[]),1,5)</f>
        <v>5.1869464147613202</v>
      </c>
      <c r="I12" s="77" cm="1">
        <f t="array" ref="I12">INDEX(_xlfn._xlws.FILTER(CapacityTable[], (CapacityTable[Model] = $B$10) * (CapacityTable[T ext] = $D12) * (CapacityTable[T water out] = $H$8) * (CapacityTable[Type] = $C$10),Tableau2[]),1,6)</f>
        <v>2.0252217223557532</v>
      </c>
      <c r="J12" s="87" cm="1">
        <f t="array" ref="J12">INDEX(_xlfn._xlws.FILTER(CapacityTable[], (CapacityTable[Model] = $B$10) * (CapacityTable[T ext] = $D12) * (CapacityTable[T water out] = $H$8) * (CapacityTable[Type] = $C$10),Tableau2[]),1,7)</f>
        <v>2.5442955014391702</v>
      </c>
      <c r="K12" s="75" cm="1">
        <f t="array" ref="K12">INDEX(_xlfn._xlws.FILTER(CapacityTable[], (CapacityTable[Model] = $B$10) * (CapacityTable[T ext] = $D12) * (CapacityTable[T water out] = $K$8) * (CapacityTable[Type] = $C$10),Tableau2[]),1,5)</f>
        <v>5.10021571628549</v>
      </c>
      <c r="L12" s="77" cm="1">
        <f t="array" ref="L12">INDEX(_xlfn._xlws.FILTER(CapacityTable[], (CapacityTable[Model] = $B$10) * (CapacityTable[T ext] = $D12) * (CapacityTable[T water out] = $K$8) * (CapacityTable[Type] = $C$10),Tableau2[]),1,6)</f>
        <v>2.1579408820538646</v>
      </c>
      <c r="M12" s="78" cm="1">
        <f t="array" ref="M12">INDEX(_xlfn._xlws.FILTER(CapacityTable[], (CapacityTable[Model] = $B$10) * (CapacityTable[T ext] = $D12) * (CapacityTable[T water out] = $K$8) * (CapacityTable[Type] = $C$10),Tableau2[]),1,7)</f>
        <v>2.3491224681449898</v>
      </c>
      <c r="N12" s="75" cm="1">
        <f t="array" ref="N12">INDEX(_xlfn._xlws.FILTER(CapacityTable[], (CapacityTable[Model] = $B$10) * (CapacityTable[T ext] = $D12) * (CapacityTable[T water out] = $N$8) * (CapacityTable[Type] = $C$10),Tableau2[]),1,5)</f>
        <v>5.0203194274312901</v>
      </c>
      <c r="O12" s="77" cm="1">
        <f t="array" ref="O12">INDEX(_xlfn._xlws.FILTER(CapacityTable[], (CapacityTable[Model] = $B$10) * (CapacityTable[T ext] = $D12) * (CapacityTable[T water out] = $N$8) * (CapacityTable[Type] = $C$10),Tableau2[]),1,6)</f>
        <v>2.2916330474018318</v>
      </c>
      <c r="P12" s="78" cm="1">
        <f t="array" ref="P12">INDEX(_xlfn._xlws.FILTER(CapacityTable[], (CapacityTable[Model] = $B$10) * (CapacityTable[T ext] = $D12) * (CapacityTable[T water out] = $N$8) * (CapacityTable[Type] = $C$10),Tableau2[]),1,7)</f>
        <v>2.1785163126515998</v>
      </c>
      <c r="Q12" s="164" cm="1">
        <f t="array" ref="Q12">INDEX(_xlfn._xlws.FILTER(CapacityTable[], (CapacityTable[Model] = $B$10) * (CapacityTable[T ext] = $D12) * (CapacityTable[T water out] = $Q$8) * (CapacityTable[Type] = $C$10),Tableau2[]),1,5)</f>
        <v>4.9602184154607203</v>
      </c>
      <c r="R12" s="97" cm="1">
        <f t="array" ref="R12">INDEX(_xlfn._xlws.FILTER(CapacityTable[], (CapacityTable[Model] = $B$10) * (CapacityTable[T ext] = $D12) * (CapacityTable[T water out] = $Q$8) * (CapacityTable[Type] = $C$10),Tableau2[]),1,6)</f>
        <v>2.391621165280998</v>
      </c>
      <c r="S12" s="165" cm="1">
        <f t="array" ref="S12">INDEX(_xlfn._xlws.FILTER(CapacityTable[], (CapacityTable[Model] = $B$10) * (CapacityTable[T ext] = $D12) * (CapacityTable[T water out] = $Q$8) * (CapacityTable[Type] = $C$10),Tableau2[]),1,7)</f>
        <v>2.0622788196473398</v>
      </c>
      <c r="T12" s="75" cm="1">
        <f t="array" ref="T12">INDEX(_xlfn._xlws.FILTER(CapacityTable[], (CapacityTable[Model] = $B$10) * (CapacityTable[T ext] = $D12) * (CapacityTable[T water out] = $T$8) * (CapacityTable[Type] = $C$10),Tableau2[]),1,5)</f>
        <v>4.8867430437071402</v>
      </c>
      <c r="U12" s="77" cm="1">
        <f t="array" ref="U12">INDEX(_xlfn._xlws.FILTER(CapacityTable[], (CapacityTable[Model] = $B$10) * (CapacityTable[T ext] = $D12) * (CapacityTable[T water out] = $T$8) * (CapacityTable[Type] = $C$10),Tableau2[]),1,6)</f>
        <v>2.5327421666262508</v>
      </c>
      <c r="V12" s="78" cm="1">
        <f t="array" ref="V12">INDEX(_xlfn._xlws.FILTER(CapacityTable[], (CapacityTable[Model] = $B$10) * (CapacityTable[T ext] = $D12) * (CapacityTable[T water out] = $T$8) * (CapacityTable[Type] = $C$10),Tableau2[]),1,7)</f>
        <v>1.9196964692140699</v>
      </c>
      <c r="W12" s="75" cm="1">
        <f t="array" ref="W12">INDEX(_xlfn._xlws.FILTER(CapacityTable[], (CapacityTable[Model] = $B$10) * (CapacityTable[T ext] = $D12) * (CapacityTable[T water out] = $W$8) * (CapacityTable[Type] = $C$10),Tableau2[]),1,5)</f>
        <v>4.8265099032782004</v>
      </c>
      <c r="X12" s="77" cm="1">
        <f t="array" ref="X12">INDEX(_xlfn._xlws.FILTER(CapacityTable[], (CapacityTable[Model] = $B$10) * (CapacityTable[T ext] = $D12) * (CapacityTable[T water out] = $W$8) * (CapacityTable[Type] = $C$10),Tableau2[]),1,6)</f>
        <v>2.6596467272302147</v>
      </c>
      <c r="Y12" s="78" cm="1">
        <f t="array" ref="Y12">INDEX(_xlfn._xlws.FILTER(CapacityTable[], (CapacityTable[Model] = $B$10) * (CapacityTable[T ext] = $D12) * (CapacityTable[T water out] = $W$8) * (CapacityTable[Type] = $C$10),Tableau2[]),1,7)</f>
        <v>1.80716268126766</v>
      </c>
      <c r="Z12" s="161" cm="1">
        <f t="array" ref="Z12">INDEX(_xlfn._xlws.FILTER(CapacityTable[], (CapacityTable[Model] = $B$10) * (CapacityTable[T ext] = $D12) * (CapacityTable[T water out] = $Z$8) * (CapacityTable[Type] = $C$10),Tableau2[]),1,5)</f>
        <v>4.7549536623328903</v>
      </c>
      <c r="AA12" s="162" cm="1">
        <f t="array" ref="AA12">INDEX(_xlfn._xlws.FILTER(CapacityTable[], (CapacityTable[Model] = $B$10) * (CapacityTable[T ext] = $D12) * (CapacityTable[T water out] = $Z$8) * (CapacityTable[Type] = $C$10),Tableau2[]),1,6)</f>
        <v>2.8161241867954532</v>
      </c>
      <c r="AB12" s="163" cm="1">
        <f t="array" ref="AB12">INDEX(_xlfn._xlws.FILTER(CapacityTable[], (CapacityTable[Model] = $B$10) * (CapacityTable[T ext] = $D12) * (CapacityTable[T water out] = $Z$8) * (CapacityTable[Type] = $C$10),Tableau2[]),1,7)</f>
        <v>1.68226622585319</v>
      </c>
      <c r="AC12" s="161" cm="1">
        <f t="array" ref="AC12">INDEX(_xlfn._xlws.FILTER(CapacityTable[], (CapacityTable[Model] = $B$10) * (CapacityTable[T ext] = $D12) * (CapacityTable[T water out] = $AC$8) * (CapacityTable[Type] = $C$10),Tableau2[]),1,5)</f>
        <v>4.4682353273885305</v>
      </c>
      <c r="AD12" s="162" cm="1">
        <f t="array" ref="AD12">INDEX(_xlfn._xlws.FILTER(CapacityTable[], (CapacityTable[Model] = $B$10) * (CapacityTable[T ext] = $D12) * (CapacityTable[T water out] = $AC$8) * (CapacityTable[Type] = $C$10),Tableau2[]),1,6)</f>
        <v>2.8796980925350129</v>
      </c>
      <c r="AE12" s="163" cm="1">
        <f t="array" ref="AE12">INDEX(_xlfn._xlws.FILTER(CapacityTable[], (CapacityTable[Model] = $B$10) * (CapacityTable[T ext] = $D12) * (CapacityTable[T water out] = $AC$8) * (CapacityTable[Type] = $C$10),Tableau2[]),1,7)</f>
        <v>1.5465479482319</v>
      </c>
    </row>
    <row r="13" spans="1:31" x14ac:dyDescent="0.25">
      <c r="A13" s="31"/>
      <c r="B13" s="277"/>
      <c r="C13" s="280"/>
      <c r="D13" s="38">
        <v>-7</v>
      </c>
      <c r="E13" s="86" cm="1">
        <f t="array" ref="E13">INDEX(_xlfn._xlws.FILTER(CapacityTable[], (CapacityTable[Model] = $B$10) * (CapacityTable[T ext] = $D13) * (CapacityTable[T water out] = $E$8) * (CapacityTable[Type] = $C$10),Tableau2[]),1,5)</f>
        <v>5.9731733121502302</v>
      </c>
      <c r="F13" s="77" cm="1">
        <f t="array" ref="F13">INDEX(_xlfn._xlws.FILTER(CapacityTable[], (CapacityTable[Model] = $B$10) * (CapacityTable[T ext] = $D13) * (CapacityTable[T water out] = $E$8) * (CapacityTable[Type] = $C$10),Tableau2[]),1,6)</f>
        <v>1.784719503433758</v>
      </c>
      <c r="G13" s="87" cm="1">
        <f t="array" ref="G13">INDEX(_xlfn._xlws.FILTER(CapacityTable[], (CapacityTable[Model] = $B$10) * (CapacityTable[T ext] = $D13) * (CapacityTable[T water out] = $E$8) * (CapacityTable[Type] = $C$10),Tableau2[]),1,7)</f>
        <v>3.32849972352833</v>
      </c>
      <c r="H13" s="86" cm="1">
        <f t="array" ref="H13">INDEX(_xlfn._xlws.FILTER(CapacityTable[], (CapacityTable[Model] = $B$10) * (CapacityTable[T ext] = $D13) * (CapacityTable[T water out] = $H$8) * (CapacityTable[Type] = $C$10),Tableau2[]),1,5)</f>
        <v>5.7171491600255004</v>
      </c>
      <c r="I13" s="77" cm="1">
        <f t="array" ref="I13">INDEX(_xlfn._xlws.FILTER(CapacityTable[], (CapacityTable[Model] = $B$10) * (CapacityTable[T ext] = $D13) * (CapacityTable[T water out] = $H$8) * (CapacityTable[Type] = $C$10),Tableau2[]),1,6)</f>
        <v>2.0695466235182161</v>
      </c>
      <c r="J13" s="87" cm="1">
        <f t="array" ref="J13">INDEX(_xlfn._xlws.FILTER(CapacityTable[], (CapacityTable[Model] = $B$10) * (CapacityTable[T ext] = $D13) * (CapacityTable[T water out] = $H$8) * (CapacityTable[Type] = $C$10),Tableau2[]),1,7)</f>
        <v>2.7479528590423699</v>
      </c>
      <c r="K13" s="75" cm="1">
        <f t="array" ref="K13">INDEX(_xlfn._xlws.FILTER(CapacityTable[], (CapacityTable[Model] = $B$10) * (CapacityTable[T ext] = $D13) * (CapacityTable[T water out] = $K$8) * (CapacityTable[Type] = $C$10),Tableau2[]),1,5)</f>
        <v>5.6075877536590095</v>
      </c>
      <c r="L13" s="77" cm="1">
        <f t="array" ref="L13">INDEX(_xlfn._xlws.FILTER(CapacityTable[], (CapacityTable[Model] = $B$10) * (CapacityTable[T ext] = $D13) * (CapacityTable[T water out] = $K$8) * (CapacityTable[Type] = $C$10),Tableau2[]),1,6)</f>
        <v>2.2096970604356585</v>
      </c>
      <c r="M13" s="78" cm="1">
        <f t="array" ref="M13">INDEX(_xlfn._xlws.FILTER(CapacityTable[], (CapacityTable[Model] = $B$10) * (CapacityTable[T ext] = $D13) * (CapacityTable[T water out] = $K$8) * (CapacityTable[Type] = $C$10),Tableau2[]),1,7)</f>
        <v>2.52494680378839</v>
      </c>
      <c r="N13" s="75" cm="1">
        <f t="array" ref="N13">INDEX(_xlfn._xlws.FILTER(CapacityTable[], (CapacityTable[Model] = $B$10) * (CapacityTable[T ext] = $D13) * (CapacityTable[T water out] = $N$8) * (CapacityTable[Type] = $C$10),Tableau2[]),1,5)</f>
        <v>5.5054331486980201</v>
      </c>
      <c r="O13" s="77" cm="1">
        <f t="array" ref="O13">INDEX(_xlfn._xlws.FILTER(CapacityTable[], (CapacityTable[Model] = $B$10) * (CapacityTable[T ext] = $D13) * (CapacityTable[T water out] = $N$8) * (CapacityTable[Type] = $C$10),Tableau2[]),1,6)</f>
        <v>2.3513029658722884</v>
      </c>
      <c r="P13" s="78" cm="1">
        <f t="array" ref="P13">INDEX(_xlfn._xlws.FILTER(CapacityTable[], (CapacityTable[Model] = $B$10) * (CapacityTable[T ext] = $D13) * (CapacityTable[T water out] = $N$8) * (CapacityTable[Type] = $C$10),Tableau2[]),1,7)</f>
        <v>2.3303104574295799</v>
      </c>
      <c r="Q13" s="164" cm="1">
        <f t="array" ref="Q13">INDEX(_xlfn._xlws.FILTER(CapacityTable[], (CapacityTable[Model] = $B$10) * (CapacityTable[T ext] = $D13) * (CapacityTable[T water out] = $Q$8) * (CapacityTable[Type] = $C$10),Tableau2[]),1,5)</f>
        <v>5.4250988301060996</v>
      </c>
      <c r="R13" s="97" cm="1">
        <f t="array" ref="R13">INDEX(_xlfn._xlws.FILTER(CapacityTable[], (CapacityTable[Model] = $B$10) * (CapacityTable[T ext] = $D13) * (CapacityTable[T water out] = $Q$8) * (CapacityTable[Type] = $C$10),Tableau2[]),1,6)</f>
        <v>2.4548124184838298</v>
      </c>
      <c r="S13" s="165" cm="1">
        <f t="array" ref="S13">INDEX(_xlfn._xlws.FILTER(CapacityTable[], (CapacityTable[Model] = $B$10) * (CapacityTable[T ext] = $D13) * (CapacityTable[T water out] = $Q$8) * (CapacityTable[Type] = $C$10),Tableau2[]),1,7)</f>
        <v>2.1969940578187299</v>
      </c>
      <c r="T13" s="75" cm="1">
        <f t="array" ref="T13">INDEX(_xlfn._xlws.FILTER(CapacityTable[], (CapacityTable[Model] = $B$10) * (CapacityTable[T ext] = $D13) * (CapacityTable[T water out] = $T$8) * (CapacityTable[Type] = $C$10),Tableau2[]),1,5)</f>
        <v>5.3309494127138892</v>
      </c>
      <c r="U13" s="77" cm="1">
        <f t="array" ref="U13">INDEX(_xlfn._xlws.FILTER(CapacityTable[], (CapacityTable[Model] = $B$10) * (CapacityTable[T ext] = $D13) * (CapacityTable[T water out] = $T$8) * (CapacityTable[Type] = $C$10),Tableau2[]),1,6)</f>
        <v>2.6042327048248657</v>
      </c>
      <c r="V13" s="78" cm="1">
        <f t="array" ref="V13">INDEX(_xlfn._xlws.FILTER(CapacityTable[], (CapacityTable[Model] = $B$10) * (CapacityTable[T ext] = $D13) * (CapacityTable[T water out] = $T$8) * (CapacityTable[Type] = $C$10),Tableau2[]),1,7)</f>
        <v>2.0362752121518701</v>
      </c>
      <c r="W13" s="75" cm="1">
        <f t="array" ref="W13">INDEX(_xlfn._xlws.FILTER(CapacityTable[], (CapacityTable[Model] = $B$10) * (CapacityTable[T ext] = $D13) * (CapacityTable[T water out] = $W$8) * (CapacityTable[Type] = $C$10),Tableau2[]),1,5)</f>
        <v>5.2542820063368998</v>
      </c>
      <c r="X13" s="77" cm="1">
        <f t="array" ref="X13">INDEX(_xlfn._xlws.FILTER(CapacityTable[], (CapacityTable[Model] = $B$10) * (CapacityTable[T ext] = $D13) * (CapacityTable[T water out] = $W$8) * (CapacityTable[Type] = $C$10),Tableau2[]),1,6)</f>
        <v>2.7363997892714806</v>
      </c>
      <c r="Y13" s="78" cm="1">
        <f t="array" ref="Y13">INDEX(_xlfn._xlws.FILTER(CapacityTable[], (CapacityTable[Model] = $B$10) * (CapacityTable[T ext] = $D13) * (CapacityTable[T water out] = $W$8) * (CapacityTable[Type] = $C$10),Tableau2[]),1,7)</f>
        <v>1.91174562800834</v>
      </c>
      <c r="Z13" s="75" cm="1">
        <f t="array" ref="Z13">INDEX(_xlfn._xlws.FILTER(CapacityTable[], (CapacityTable[Model] = $B$10) * (CapacityTable[T ext] = $D13) * (CapacityTable[T water out] = $Z$8) * (CapacityTable[Type] = $C$10),Tableau2[]),1,5)</f>
        <v>5.1637516627953701</v>
      </c>
      <c r="AA13" s="77" cm="1">
        <f t="array" ref="AA13">INDEX(_xlfn._xlws.FILTER(CapacityTable[], (CapacityTable[Model] = $B$10) * (CapacityTable[T ext] = $D13) * (CapacityTable[T water out] = $Z$8) * (CapacityTable[Type] = $C$10),Tableau2[]),1,6)</f>
        <v>2.8994456455733486</v>
      </c>
      <c r="AB13" s="78" cm="1">
        <f t="array" ref="AB13">INDEX(_xlfn._xlws.FILTER(CapacityTable[], (CapacityTable[Model] = $B$10) * (CapacityTable[T ext] = $D13) * (CapacityTable[T water out] = $Z$8) * (CapacityTable[Type] = $C$10),Tableau2[]),1,7)</f>
        <v>1.77409321005578</v>
      </c>
      <c r="AC13" s="75" cm="1">
        <f t="array" ref="AC13">INDEX(_xlfn._xlws.FILTER(CapacityTable[], (CapacityTable[Model] = $B$10) * (CapacityTable[T ext] = $D13) * (CapacityTable[T water out] = $AC$8) * (CapacityTable[Type] = $C$10),Tableau2[]),1,5)</f>
        <v>4.84907739522348</v>
      </c>
      <c r="AD13" s="77" cm="1">
        <f t="array" ref="AD13">INDEX(_xlfn._xlws.FILTER(CapacityTable[], (CapacityTable[Model] = $B$10) * (CapacityTable[T ext] = $D13) * (CapacityTable[T water out] = $AC$8) * (CapacityTable[Type] = $C$10),Tableau2[]),1,6)</f>
        <v>2.9617536919105376</v>
      </c>
      <c r="AE13" s="78" cm="1">
        <f t="array" ref="AE13">INDEX(_xlfn._xlws.FILTER(CapacityTable[], (CapacityTable[Model] = $B$10) * (CapacityTable[T ext] = $D13) * (CapacityTable[T water out] = $AC$8) * (CapacityTable[Type] = $C$10),Tableau2[]),1,7)</f>
        <v>1.6316861085851899</v>
      </c>
    </row>
    <row r="14" spans="1:31" x14ac:dyDescent="0.25">
      <c r="A14" s="31"/>
      <c r="B14" s="277"/>
      <c r="C14" s="281"/>
      <c r="D14" s="48">
        <v>2</v>
      </c>
      <c r="E14" s="86" cm="1">
        <f t="array" ref="E14">INDEX(_xlfn._xlws.FILTER(CapacityTable[], (CapacityTable[Model] = $B$10) * (CapacityTable[T ext] = $D14) * (CapacityTable[T water out] = $E$8) * (CapacityTable[Type] = $C$10),Tableau2[]),1,5)</f>
        <v>7.1714399419266517</v>
      </c>
      <c r="F14" s="79" cm="1">
        <f t="array" ref="F14">INDEX(_xlfn._xlws.FILTER(CapacityTable[], (CapacityTable[Model] = $B$10) * (CapacityTable[T ext] = $D14) * (CapacityTable[T water out] = $E$8) * (CapacityTable[Type] = $C$10),Tableau2[]),1,6)</f>
        <v>1.6419722013753326</v>
      </c>
      <c r="G14" s="88" cm="1">
        <f t="array" ref="G14">INDEX(_xlfn._xlws.FILTER(CapacityTable[], (CapacityTable[Model] = $B$10) * (CapacityTable[T ext] = $D14) * (CapacityTable[T water out] = $E$8) * (CapacityTable[Type] = $C$10),Tableau2[]),1,7)</f>
        <v>4.2914379394789703</v>
      </c>
      <c r="H14" s="86" cm="1">
        <f t="array" ref="H14">INDEX(_xlfn._xlws.FILTER(CapacityTable[], (CapacityTable[Model] = $B$10) * (CapacityTable[T ext] = $D14) * (CapacityTable[T water out] = $H$8) * (CapacityTable[Type] = $C$10),Tableau2[]),1,5)</f>
        <v>7.1715569733933275</v>
      </c>
      <c r="I14" s="79" cm="1">
        <f t="array" ref="I14">INDEX(_xlfn._xlws.FILTER(CapacityTable[], (CapacityTable[Model] = $B$10) * (CapacityTable[T ext] = $D14) * (CapacityTable[T water out] = $H$8) * (CapacityTable[Type] = $C$10),Tableau2[]),1,6)</f>
        <v>2.0720486403737577</v>
      </c>
      <c r="J14" s="88" cm="1">
        <f t="array" ref="J14">INDEX(_xlfn._xlws.FILTER(CapacityTable[], (CapacityTable[Model] = $B$10) * (CapacityTable[T ext] = $D14) * (CapacityTable[T water out] = $H$8) * (CapacityTable[Type] = $C$10),Tableau2[]),1,7)</f>
        <v>3.4161178664649641</v>
      </c>
      <c r="K14" s="76" cm="1">
        <f t="array" ref="K14">INDEX(_xlfn._xlws.FILTER(CapacityTable[], (CapacityTable[Model] = $B$10) * (CapacityTable[T ext] = $D14) * (CapacityTable[T water out] = $K$8) * (CapacityTable[Type] = $C$10),Tableau2[]),1,5)</f>
        <v>7.171617363795419</v>
      </c>
      <c r="L14" s="79" cm="1">
        <f t="array" ref="L14">INDEX(_xlfn._xlws.FILTER(CapacityTable[], (CapacityTable[Model] = $B$10) * (CapacityTable[T ext] = $D14) * (CapacityTable[T water out] = $K$8) * (CapacityTable[Type] = $C$10),Tableau2[]),1,6)</f>
        <v>2.2888655709542065</v>
      </c>
      <c r="M14" s="80" cm="1">
        <f t="array" ref="M14">INDEX(_xlfn._xlws.FILTER(CapacityTable[], (CapacityTable[Model] = $B$10) * (CapacityTable[T ext] = $D14) * (CapacityTable[T water out] = $K$8) * (CapacityTable[Type] = $C$10),Tableau2[]),1,7)</f>
        <v>3.0975967865015859</v>
      </c>
      <c r="N14" s="76" cm="1">
        <f t="array" ref="N14">INDEX(_xlfn._xlws.FILTER(CapacityTable[], (CapacityTable[Model] = $B$10) * (CapacityTable[T ext] = $D14) * (CapacityTable[T water out] = $N$8) * (CapacityTable[Type] = $C$10),Tableau2[]),1,5)</f>
        <v>7.1117945391745296</v>
      </c>
      <c r="O14" s="79" cm="1">
        <f t="array" ref="O14">INDEX(_xlfn._xlws.FILTER(CapacityTable[], (CapacityTable[Model] = $B$10) * (CapacityTable[T ext] = $D14) * (CapacityTable[T water out] = $N$8) * (CapacityTable[Type] = $C$10),Tableau2[]),1,6)</f>
        <v>2.4897097729376654</v>
      </c>
      <c r="P14" s="80" cm="1">
        <f t="array" ref="P14">INDEX(_xlfn._xlws.FILTER(CapacityTable[], (CapacityTable[Model] = $B$10) * (CapacityTable[T ext] = $D14) * (CapacityTable[T water out] = $N$8) * (CapacityTable[Type] = $C$10),Tableau2[]),1,7)</f>
        <v>2.8272621361499</v>
      </c>
      <c r="Q14" s="166" cm="1">
        <f t="array" ref="Q14">INDEX(_xlfn._xlws.FILTER(CapacityTable[], (CapacityTable[Model] = $B$10) * (CapacityTable[T ext] = $D14) * (CapacityTable[T water out] = $Q$8) * (CapacityTable[Type] = $C$10),Tableau2[]),1,5)</f>
        <v>6.9966323474464902</v>
      </c>
      <c r="R14" s="167" cm="1">
        <f t="array" ref="R14">INDEX(_xlfn._xlws.FILTER(CapacityTable[], (CapacityTable[Model] = $B$10) * (CapacityTable[T ext] = $D14) * (CapacityTable[T water out] = $Q$8) * (CapacityTable[Type] = $C$10),Tableau2[]),1,6)</f>
        <v>2.6108577148585086</v>
      </c>
      <c r="S14" s="168" cm="1">
        <f t="array" ref="S14">INDEX(_xlfn._xlws.FILTER(CapacityTable[], (CapacityTable[Model] = $B$10) * (CapacityTable[T ext] = $D14) * (CapacityTable[T water out] = $Q$8) * (CapacityTable[Type] = $C$10),Tableau2[]),1,7)</f>
        <v>2.66357052781937</v>
      </c>
      <c r="T14" s="76" cm="1">
        <f t="array" ref="T14">INDEX(_xlfn._xlws.FILTER(CapacityTable[], (CapacityTable[Model] = $B$10) * (CapacityTable[T ext] = $D14) * (CapacityTable[T water out] = $T$8) * (CapacityTable[Type] = $C$10),Tableau2[]),1,5)</f>
        <v>6.8404376970385998</v>
      </c>
      <c r="U14" s="79" cm="1">
        <f t="array" ref="U14">INDEX(_xlfn._xlws.FILTER(CapacityTable[], (CapacityTable[Model] = $B$10) * (CapacityTable[T ext] = $D14) * (CapacityTable[T water out] = $T$8) * (CapacityTable[Type] = $C$10),Tableau2[]),1,6)</f>
        <v>2.7848312911823103</v>
      </c>
      <c r="V14" s="80" cm="1">
        <f t="array" ref="V14">INDEX(_xlfn._xlws.FILTER(CapacityTable[], (CapacityTable[Model] = $B$10) * (CapacityTable[T ext] = $D14) * (CapacityTable[T water out] = $T$8) * (CapacityTable[Type] = $C$10),Tableau2[]),1,7)</f>
        <v>2.4428292256784898</v>
      </c>
      <c r="W14" s="76" cm="1">
        <f t="array" ref="W14">INDEX(_xlfn._xlws.FILTER(CapacityTable[], (CapacityTable[Model] = $B$10) * (CapacityTable[T ext] = $D14) * (CapacityTable[T water out] = $W$8) * (CapacityTable[Type] = $C$10),Tableau2[]),1,5)</f>
        <v>6.7046800262339099</v>
      </c>
      <c r="X14" s="79" cm="1">
        <f t="array" ref="X14">INDEX(_xlfn._xlws.FILTER(CapacityTable[], (CapacityTable[Model] = $B$10) * (CapacityTable[T ext] = $D14) * (CapacityTable[T water out] = $W$8) * (CapacityTable[Type] = $C$10),Tableau2[]),1,6)</f>
        <v>2.9400071608725984</v>
      </c>
      <c r="Y14" s="80" cm="1">
        <f t="array" ref="Y14">INDEX(_xlfn._xlws.FILTER(CapacityTable[], (CapacityTable[Model] = $B$10) * (CapacityTable[T ext] = $D14) * (CapacityTable[T water out] = $W$8) * (CapacityTable[Type] = $C$10),Tableau2[]),1,7)</f>
        <v>2.26909840614293</v>
      </c>
      <c r="Z14" s="76" cm="1">
        <f t="array" ref="Z14">INDEX(_xlfn._xlws.FILTER(CapacityTable[], (CapacityTable[Model] = $B$10) * (CapacityTable[T ext] = $D14) * (CapacityTable[T water out] = $Z$8) * (CapacityTable[Type] = $C$10),Tableau2[]),1,5)</f>
        <v>6.5460323342496203</v>
      </c>
      <c r="AA14" s="79" cm="1">
        <f t="array" ref="AA14">INDEX(_xlfn._xlws.FILTER(CapacityTable[], (CapacityTable[Model] = $B$10) * (CapacityTable[T ext] = $D14) * (CapacityTable[T water out] = $Z$8) * (CapacityTable[Type] = $C$10),Tableau2[]),1,6)</f>
        <v>3.1281390583091624</v>
      </c>
      <c r="AB14" s="80" cm="1">
        <f t="array" ref="AB14">INDEX(_xlfn._xlws.FILTER(CapacityTable[], (CapacityTable[Model] = $B$10) * (CapacityTable[T ext] = $D14) * (CapacityTable[T water out] = $Z$8) * (CapacityTable[Type] = $C$10),Tableau2[]),1,7)</f>
        <v>2.0833567141752898</v>
      </c>
      <c r="AC14" s="76" cm="1">
        <f t="array" ref="AC14">INDEX(_xlfn._xlws.FILTER(CapacityTable[], (CapacityTable[Model] = $B$10) * (CapacityTable[T ext] = $D14) * (CapacityTable[T water out] = $AC$8) * (CapacityTable[Type] = $C$10),Tableau2[]),1,5)</f>
        <v>6.1244072490400105</v>
      </c>
      <c r="AD14" s="79" cm="1">
        <f t="array" ref="AD14">INDEX(_xlfn._xlws.FILTER(CapacityTable[], (CapacityTable[Model] = $B$10) * (CapacityTable[T ext] = $D14) * (CapacityTable[T water out] = $AC$8) * (CapacityTable[Type] = $C$10),Tableau2[]),1,6)</f>
        <v>3.2054184395014982</v>
      </c>
      <c r="AE14" s="80" cm="1">
        <f t="array" ref="AE14">INDEX(_xlfn._xlws.FILTER(CapacityTable[], (CapacityTable[Model] = $B$10) * (CapacityTable[T ext] = $D14) * (CapacityTable[T water out] = $AC$8) * (CapacityTable[Type] = $C$10),Tableau2[]),1,7)</f>
        <v>1.90305512035713</v>
      </c>
    </row>
    <row r="15" spans="1:31" x14ac:dyDescent="0.25">
      <c r="A15" s="31"/>
      <c r="B15" s="277"/>
      <c r="C15" s="281"/>
      <c r="D15" s="48">
        <v>7</v>
      </c>
      <c r="E15" s="86" cm="1">
        <f t="array" ref="E15">INDEX(_xlfn._xlws.FILTER(CapacityTable[], (CapacityTable[Model] = $B$10) * (CapacityTable[T ext] = $D15) * (CapacityTable[T water out] = $E$8) * (CapacityTable[Type] = $C$10),Tableau2[]),1,5)</f>
        <v>7.1713425939520539</v>
      </c>
      <c r="F15" s="79" cm="1">
        <f t="array" ref="F15">INDEX(_xlfn._xlws.FILTER(CapacityTable[], (CapacityTable[Model] = $B$10) * (CapacityTable[T ext] = $D15) * (CapacityTable[T water out] = $E$8) * (CapacityTable[Type] = $C$10),Tableau2[]),1,6)</f>
        <v>1.3672607289103642</v>
      </c>
      <c r="G15" s="88" cm="1">
        <f t="array" ref="G15">INDEX(_xlfn._xlws.FILTER(CapacityTable[], (CapacityTable[Model] = $B$10) * (CapacityTable[T ext] = $D15) * (CapacityTable[T water out] = $E$8) * (CapacityTable[Type] = $C$10),Tableau2[]),1,7)</f>
        <v>5.1316935710800449</v>
      </c>
      <c r="H15" s="86" cm="1">
        <f t="array" ref="H15">INDEX(_xlfn._xlws.FILTER(CapacityTable[], (CapacityTable[Model] = $B$10) * (CapacityTable[T ext] = $D15) * (CapacityTable[T water out] = $H$8) * (CapacityTable[Type] = $C$10),Tableau2[]),1,5)</f>
        <v>7.1713719383660539</v>
      </c>
      <c r="I15" s="79" cm="1">
        <f t="array" ref="I15">INDEX(_xlfn._xlws.FILTER(CapacityTable[], (CapacityTable[Model] = $B$10) * (CapacityTable[T ext] = $D15) * (CapacityTable[T water out] = $H$8) * (CapacityTable[Type] = $C$10),Tableau2[]),1,6)</f>
        <v>1.775859990778204</v>
      </c>
      <c r="J15" s="88" cm="1">
        <f t="array" ref="J15">INDEX(_xlfn._xlws.FILTER(CapacityTable[], (CapacityTable[Model] = $B$10) * (CapacityTable[T ext] = $D15) * (CapacityTable[T water out] = $H$8) * (CapacityTable[Type] = $C$10),Tableau2[]),1,7)</f>
        <v>3.9746010126967564</v>
      </c>
      <c r="K15" s="76" cm="1">
        <f t="array" ref="K15">INDEX(_xlfn._xlws.FILTER(CapacityTable[], (CapacityTable[Model] = $B$10) * (CapacityTable[T ext] = $D15) * (CapacityTable[T water out] = $K$8) * (CapacityTable[Type] = $C$10),Tableau2[]),1,5)</f>
        <v>7.1716460052878324</v>
      </c>
      <c r="L15" s="79" cm="1">
        <f t="array" ref="L15">INDEX(_xlfn._xlws.FILTER(CapacityTable[], (CapacityTable[Model] = $B$10) * (CapacityTable[T ext] = $D15) * (CapacityTable[T water out] = $K$8) * (CapacityTable[Type] = $C$10),Tableau2[]),1,6)</f>
        <v>1.9905241960756783</v>
      </c>
      <c r="M15" s="80" cm="1">
        <f t="array" ref="M15">INDEX(_xlfn._xlws.FILTER(CapacityTable[], (CapacityTable[Model] = $B$10) * (CapacityTable[T ext] = $D15) * (CapacityTable[T water out] = $K$8) * (CapacityTable[Type] = $C$10),Tableau2[]),1,7)</f>
        <v>3.5537344490582781</v>
      </c>
      <c r="N15" s="76" cm="1">
        <f t="array" ref="N15">INDEX(_xlfn._xlws.FILTER(CapacityTable[], (CapacityTable[Model] = $B$10) * (CapacityTable[T ext] = $D15) * (CapacityTable[T water out] = $N$8) * (CapacityTable[Type] = $C$10),Tableau2[]),1,5)</f>
        <v>7.171762016908823</v>
      </c>
      <c r="O15" s="79" cm="1">
        <f t="array" ref="O15">INDEX(_xlfn._xlws.FILTER(CapacityTable[], (CapacityTable[Model] = $B$10) * (CapacityTable[T ext] = $D15) * (CapacityTable[T water out] = $N$8) * (CapacityTable[Type] = $C$10),Tableau2[]),1,6)</f>
        <v>2.2128359386227703</v>
      </c>
      <c r="P15" s="80" cm="1">
        <f t="array" ref="P15">INDEX(_xlfn._xlws.FILTER(CapacityTable[], (CapacityTable[Model] = $B$10) * (CapacityTable[T ext] = $D15) * (CapacityTable[T water out] = $N$8) * (CapacityTable[Type] = $C$10),Tableau2[]),1,7)</f>
        <v>3.2025007268319801</v>
      </c>
      <c r="Q15" s="166" cm="1">
        <f t="array" ref="Q15">INDEX(_xlfn._xlws.FILTER(CapacityTable[], (CapacityTable[Model] = $B$10) * (CapacityTable[T ext] = $D15) * (CapacityTable[T water out] = $Q$8) * (CapacityTable[Type] = $C$10),Tableau2[]),1,5)</f>
        <v>7.1806468717497349</v>
      </c>
      <c r="R15" s="167" cm="1">
        <f t="array" ref="R15">INDEX(_xlfn._xlws.FILTER(CapacityTable[], (CapacityTable[Model] = $B$10) * (CapacityTable[T ext] = $D15) * (CapacityTable[T water out] = $Q$8) * (CapacityTable[Type] = $C$10),Tableau2[]),1,6)</f>
        <v>2.3881629896928342</v>
      </c>
      <c r="S15" s="168" cm="1">
        <f t="array" ref="S15">INDEX(_xlfn._xlws.FILTER(CapacityTable[], (CapacityTable[Model] = $B$10) * (CapacityTable[T ext] = $D15) * (CapacityTable[T water out] = $Q$8) * (CapacityTable[Type] = $C$10),Tableau2[]),1,7)</f>
        <v>2.9861011087805456</v>
      </c>
      <c r="T15" s="76" cm="1">
        <f t="array" ref="T15">INDEX(_xlfn._xlws.FILTER(CapacityTable[], (CapacityTable[Model] = $B$10) * (CapacityTable[T ext] = $D15) * (CapacityTable[T water out] = $T$8) * (CapacityTable[Type] = $C$10),Tableau2[]),1,5)</f>
        <v>7.1806672905377553</v>
      </c>
      <c r="U15" s="79" cm="1">
        <f t="array" ref="U15">INDEX(_xlfn._xlws.FILTER(CapacityTable[], (CapacityTable[Model] = $B$10) * (CapacityTable[T ext] = $D15) * (CapacityTable[T water out] = $T$8) * (CapacityTable[Type] = $C$10),Tableau2[]),1,6)</f>
        <v>2.6358669364792999</v>
      </c>
      <c r="V15" s="80" cm="1">
        <f t="array" ref="V15">INDEX(_xlfn._xlws.FILTER(CapacityTable[], (CapacityTable[Model] = $B$10) * (CapacityTable[T ext] = $D15) * (CapacityTable[T water out] = $T$8) * (CapacityTable[Type] = $C$10),Tableau2[]),1,7)</f>
        <v>2.7079322618546184</v>
      </c>
      <c r="W15" s="76" cm="1">
        <f t="array" ref="W15">INDEX(_xlfn._xlws.FILTER(CapacityTable[], (CapacityTable[Model] = $B$10) * (CapacityTable[T ext] = $D15) * (CapacityTable[T water out] = $W$8) * (CapacityTable[Type] = $C$10),Tableau2[]),1,5)</f>
        <v>7.1801030793898288</v>
      </c>
      <c r="X15" s="79" cm="1">
        <f t="array" ref="X15">INDEX(_xlfn._xlws.FILTER(CapacityTable[], (CapacityTable[Model] = $B$10) * (CapacityTable[T ext] = $D15) * (CapacityTable[T water out] = $W$8) * (CapacityTable[Type] = $C$10),Tableau2[]),1,6)</f>
        <v>2.8645662417891287</v>
      </c>
      <c r="Y15" s="80" cm="1">
        <f t="array" ref="Y15">INDEX(_xlfn._xlws.FILTER(CapacityTable[], (CapacityTable[Model] = $B$10) * (CapacityTable[T ext] = $D15) * (CapacityTable[T water out] = $W$8) * (CapacityTable[Type] = $C$10),Tableau2[]),1,7)</f>
        <v>2.4928310177209578</v>
      </c>
      <c r="Z15" s="76" cm="1">
        <f t="array" ref="Z15">INDEX(_xlfn._xlws.FILTER(CapacityTable[], (CapacityTable[Model] = $B$10) * (CapacityTable[T ext] = $D15) * (CapacityTable[T water out] = $Z$8) * (CapacityTable[Type] = $C$10),Tableau2[]),1,5)</f>
        <v>7.1801236462394558</v>
      </c>
      <c r="AA15" s="79" cm="1">
        <f t="array" ref="AA15">INDEX(_xlfn._xlws.FILTER(CapacityTable[], (CapacityTable[Model] = $B$10) * (CapacityTable[T ext] = $D15) * (CapacityTable[T water out] = $Z$8) * (CapacityTable[Type] = $C$10),Tableau2[]),1,6)</f>
        <v>3.1503485340622279</v>
      </c>
      <c r="AB15" s="80" cm="1">
        <f t="array" ref="AB15">INDEX(_xlfn._xlws.FILTER(CapacityTable[], (CapacityTable[Model] = $B$10) * (CapacityTable[T ext] = $D15) * (CapacityTable[T water out] = $Z$8) * (CapacityTable[Type] = $C$10),Tableau2[]),1,7)</f>
        <v>2.268319439028045</v>
      </c>
      <c r="AC15" s="76" cm="1">
        <f t="array" ref="AC15">INDEX(_xlfn._xlws.FILTER(CapacityTable[], (CapacityTable[Model] = $B$10) * (CapacityTable[T ext] = $D15) * (CapacityTable[T water out] = $AC$8) * (CapacityTable[Type] = $C$10),Tableau2[]),1,5)</f>
        <v>6.9149263409282602</v>
      </c>
      <c r="AD15" s="79" cm="1">
        <f t="array" ref="AD15">INDEX(_xlfn._xlws.FILTER(CapacityTable[], (CapacityTable[Model] = $B$10) * (CapacityTable[T ext] = $D15) * (CapacityTable[T water out] = $AC$8) * (CapacityTable[Type] = $C$10),Tableau2[]),1,6)</f>
        <v>3.3180884598260141</v>
      </c>
      <c r="AE15" s="80" cm="1">
        <f t="array" ref="AE15">INDEX(_xlfn._xlws.FILTER(CapacityTable[], (CapacityTable[Model] = $B$10) * (CapacityTable[T ext] = $D15) * (CapacityTable[T water out] = $AC$8) * (CapacityTable[Type] = $C$10),Tableau2[]),1,7)</f>
        <v>2.0752167169610298</v>
      </c>
    </row>
    <row r="16" spans="1:31" x14ac:dyDescent="0.25">
      <c r="A16" s="31"/>
      <c r="B16" s="277"/>
      <c r="C16" s="281"/>
      <c r="D16" s="48">
        <v>12</v>
      </c>
      <c r="E16" s="86" cm="1">
        <f t="array" ref="E16">INDEX(_xlfn._xlws.FILTER(CapacityTable[], (CapacityTable[Model] = $B$10) * (CapacityTable[T ext] = $D16) * (CapacityTable[T water out] = $E$8) * (CapacityTable[Type] = $C$10),Tableau2[]),1,5)</f>
        <v>7.1714042638597961</v>
      </c>
      <c r="F16" s="79" cm="1">
        <f t="array" ref="F16">INDEX(_xlfn._xlws.FILTER(CapacityTable[], (CapacityTable[Model] = $B$10) * (CapacityTable[T ext] = $D16) * (CapacityTable[T water out] = $E$8) * (CapacityTable[Type] = $C$10),Tableau2[]),1,6)</f>
        <v>1.0967064788079874</v>
      </c>
      <c r="G16" s="88" cm="1">
        <f t="array" ref="G16">INDEX(_xlfn._xlws.FILTER(CapacityTable[], (CapacityTable[Model] = $B$10) * (CapacityTable[T ext] = $D16) * (CapacityTable[T water out] = $E$8) * (CapacityTable[Type] = $C$10),Tableau2[]),1,7)</f>
        <v>6.3576973604506906</v>
      </c>
      <c r="H16" s="86" cm="1">
        <f t="array" ref="H16">INDEX(_xlfn._xlws.FILTER(CapacityTable[], (CapacityTable[Model] = $B$10) * (CapacityTable[T ext] = $D16) * (CapacityTable[T water out] = $H$8) * (CapacityTable[Type] = $C$10),Tableau2[]),1,5)</f>
        <v>7.1713581089173859</v>
      </c>
      <c r="I16" s="79" cm="1">
        <f t="array" ref="I16">INDEX(_xlfn._xlws.FILTER(CapacityTable[], (CapacityTable[Model] = $B$10) * (CapacityTable[T ext] = $D16) * (CapacityTable[T water out] = $H$8) * (CapacityTable[Type] = $C$10),Tableau2[]),1,6)</f>
        <v>1.4766010973706836</v>
      </c>
      <c r="J16" s="88" cm="1">
        <f t="array" ref="J16">INDEX(_xlfn._xlws.FILTER(CapacityTable[], (CapacityTable[Model] = $B$10) * (CapacityTable[T ext] = $D16) * (CapacityTable[T water out] = $H$8) * (CapacityTable[Type] = $C$10),Tableau2[]),1,7)</f>
        <v>4.761251100822026</v>
      </c>
      <c r="K16" s="76" cm="1">
        <f t="array" ref="K16">INDEX(_xlfn._xlws.FILTER(CapacityTable[], (CapacityTable[Model] = $B$10) * (CapacityTable[T ext] = $D16) * (CapacityTable[T water out] = $K$8) * (CapacityTable[Type] = $C$10),Tableau2[]),1,5)</f>
        <v>7.1716572931565956</v>
      </c>
      <c r="L16" s="79" cm="1">
        <f t="array" ref="L16">INDEX(_xlfn._xlws.FILTER(CapacityTable[], (CapacityTable[Model] = $B$10) * (CapacityTable[T ext] = $D16) * (CapacityTable[T water out] = $K$8) * (CapacityTable[Type] = $C$10),Tableau2[]),1,6)</f>
        <v>1.6770292593361702</v>
      </c>
      <c r="M16" s="80" cm="1">
        <f t="array" ref="M16">INDEX(_xlfn._xlws.FILTER(CapacityTable[], (CapacityTable[Model] = $B$10) * (CapacityTable[T ext] = $D16) * (CapacityTable[T water out] = $K$8) * (CapacityTable[Type] = $C$10),Tableau2[]),1,7)</f>
        <v>4.2042530396705642</v>
      </c>
      <c r="N16" s="76" cm="1">
        <f t="array" ref="N16">INDEX(_xlfn._xlws.FILTER(CapacityTable[], (CapacityTable[Model] = $B$10) * (CapacityTable[T ext] = $D16) * (CapacityTable[T water out] = $N$8) * (CapacityTable[Type] = $C$10),Tableau2[]),1,5)</f>
        <v>7.171776278425293</v>
      </c>
      <c r="O16" s="79" cm="1">
        <f t="array" ref="O16">INDEX(_xlfn._xlws.FILTER(CapacityTable[], (CapacityTable[Model] = $B$10) * (CapacityTable[T ext] = $D16) * (CapacityTable[T water out] = $N$8) * (CapacityTable[Type] = $C$10),Tableau2[]),1,6)</f>
        <v>1.8879849164716764</v>
      </c>
      <c r="P16" s="80" cm="1">
        <f t="array" ref="P16">INDEX(_xlfn._xlws.FILTER(CapacityTable[], (CapacityTable[Model] = $B$10) * (CapacityTable[T ext] = $D16) * (CapacityTable[T water out] = $N$8) * (CapacityTable[Type] = $C$10),Tableau2[]),1,7)</f>
        <v>3.7433408757235922</v>
      </c>
      <c r="Q16" s="166" cm="1">
        <f t="array" ref="Q16">INDEX(_xlfn._xlws.FILTER(CapacityTable[], (CapacityTable[Model] = $B$10) * (CapacityTable[T ext] = $D16) * (CapacityTable[T water out] = $Q$8) * (CapacityTable[Type] = $C$10),Tableau2[]),1,5)</f>
        <v>7.1806286193546711</v>
      </c>
      <c r="R16" s="167" cm="1">
        <f t="array" ref="R16">INDEX(_xlfn._xlws.FILTER(CapacityTable[], (CapacityTable[Model] = $B$10) * (CapacityTable[T ext] = $D16) * (CapacityTable[T water out] = $Q$8) * (CapacityTable[Type] = $C$10),Tableau2[]),1,6)</f>
        <v>2.0593795268584967</v>
      </c>
      <c r="S16" s="168" cm="1">
        <f t="array" ref="S16">INDEX(_xlfn._xlws.FILTER(CapacityTable[], (CapacityTable[Model] = $B$10) * (CapacityTable[T ext] = $D16) * (CapacityTable[T water out] = $Q$8) * (CapacityTable[Type] = $C$10),Tableau2[]),1,7)</f>
        <v>3.4575783121953991</v>
      </c>
      <c r="T16" s="76" cm="1">
        <f t="array" ref="T16">INDEX(_xlfn._xlws.FILTER(CapacityTable[], (CapacityTable[Model] = $B$10) * (CapacityTable[T ext] = $D16) * (CapacityTable[T water out] = $T$8) * (CapacityTable[Type] = $C$10),Tableau2[]),1,5)</f>
        <v>7.1806970140248136</v>
      </c>
      <c r="U16" s="79" cm="1">
        <f t="array" ref="U16">INDEX(_xlfn._xlws.FILTER(CapacityTable[], (CapacityTable[Model] = $B$10) * (CapacityTable[T ext] = $D16) * (CapacityTable[T water out] = $T$8) * (CapacityTable[Type] = $C$10),Tableau2[]),1,6)</f>
        <v>2.2995370930540977</v>
      </c>
      <c r="V16" s="80" cm="1">
        <f t="array" ref="V16">INDEX(_xlfn._xlws.FILTER(CapacityTable[], (CapacityTable[Model] = $B$10) * (CapacityTable[T ext] = $D16) * (CapacityTable[T water out] = $T$8) * (CapacityTable[Type] = $C$10),Tableau2[]),1,7)</f>
        <v>3.1000754978310288</v>
      </c>
      <c r="W16" s="76" cm="1">
        <f t="array" ref="W16">INDEX(_xlfn._xlws.FILTER(CapacityTable[], (CapacityTable[Model] = $B$10) * (CapacityTable[T ext] = $D16) * (CapacityTable[T water out] = $W$8) * (CapacityTable[Type] = $C$10),Tableau2[]),1,5)</f>
        <v>7.1800840734628606</v>
      </c>
      <c r="X16" s="79" cm="1">
        <f t="array" ref="X16">INDEX(_xlfn._xlws.FILTER(CapacityTable[], (CapacityTable[Model] = $B$10) * (CapacityTable[T ext] = $D16) * (CapacityTable[T water out] = $W$8) * (CapacityTable[Type] = $C$10),Tableau2[]),1,6)</f>
        <v>2.5264676576522174</v>
      </c>
      <c r="Y16" s="80" cm="1">
        <f t="array" ref="Y16">INDEX(_xlfn._xlws.FILTER(CapacityTable[], (CapacityTable[Model] = $B$10) * (CapacityTable[T ext] = $D16) * (CapacityTable[T water out] = $W$8) * (CapacityTable[Type] = $C$10),Tableau2[]),1,7)</f>
        <v>2.8233372079236339</v>
      </c>
      <c r="Z16" s="76" cm="1">
        <f t="array" ref="Z16">INDEX(_xlfn._xlws.FILTER(CapacityTable[], (CapacityTable[Model] = $B$10) * (CapacityTable[T ext] = $D16) * (CapacityTable[T water out] = $Z$8) * (CapacityTable[Type] = $C$10),Tableau2[]),1,5)</f>
        <v>7.1801149399952342</v>
      </c>
      <c r="AA16" s="79" cm="1">
        <f t="array" ref="AA16">INDEX(_xlfn._xlws.FILTER(CapacityTable[], (CapacityTable[Model] = $B$10) * (CapacityTable[T ext] = $D16) * (CapacityTable[T water out] = $Z$8) * (CapacityTable[Type] = $C$10),Tableau2[]),1,6)</f>
        <v>2.8124012110463168</v>
      </c>
      <c r="AB16" s="80" cm="1">
        <f t="array" ref="AB16">INDEX(_xlfn._xlws.FILTER(CapacityTable[], (CapacityTable[Model] = $B$10) * (CapacityTable[T ext] = $D16) * (CapacityTable[T water out] = $Z$8) * (CapacityTable[Type] = $C$10),Tableau2[]),1,7)</f>
        <v>2.5386787514061049</v>
      </c>
      <c r="AC16" s="76" cm="1">
        <f t="array" ref="AC16">INDEX(_xlfn._xlws.FILTER(CapacityTable[], (CapacityTable[Model] = $B$10) * (CapacityTable[T ext] = $D16) * (CapacityTable[T water out] = $AC$8) * (CapacityTable[Type] = $C$10),Tableau2[]),1,5)</f>
        <v>7.1800899514401264</v>
      </c>
      <c r="AD16" s="79" cm="1">
        <f t="array" ref="AD16">INDEX(_xlfn._xlws.FILTER(CapacityTable[], (CapacityTable[Model] = $B$10) * (CapacityTable[T ext] = $D16) * (CapacityTable[T water out] = $AC$8) * (CapacityTable[Type] = $C$10),Tableau2[]),1,6)</f>
        <v>3.1240323504986196</v>
      </c>
      <c r="AE16" s="80" cm="1">
        <f t="array" ref="AE16">INDEX(_xlfn._xlws.FILTER(CapacityTable[], (CapacityTable[Model] = $B$10) * (CapacityTable[T ext] = $D16) * (CapacityTable[T water out] = $AC$8) * (CapacityTable[Type] = $C$10),Tableau2[]),1,7)</f>
        <v>2.2873426342699563</v>
      </c>
    </row>
    <row r="17" spans="1:31" x14ac:dyDescent="0.25">
      <c r="A17" s="31"/>
      <c r="B17" s="277"/>
      <c r="C17" s="281"/>
      <c r="D17" s="48">
        <v>15</v>
      </c>
      <c r="E17" s="86" cm="1">
        <f t="array" ref="E17">INDEX(_xlfn._xlws.FILTER(CapacityTable[], (CapacityTable[Model] = $B$10) * (CapacityTable[T ext] = $D17) * (CapacityTable[T water out] = $E$8) * (CapacityTable[Type] = $C$10),Tableau2[]),1,5)</f>
        <v>7.1715574474324217</v>
      </c>
      <c r="F17" s="79" cm="1">
        <f t="array" ref="F17">INDEX(_xlfn._xlws.FILTER(CapacityTable[], (CapacityTable[Model] = $B$10) * (CapacityTable[T ext] = $D17) * (CapacityTable[T water out] = $E$8) * (CapacityTable[Type] = $C$10),Tableau2[]),1,6)</f>
        <v>1.038843434798941</v>
      </c>
      <c r="G17" s="88" cm="1">
        <f t="array" ref="G17">INDEX(_xlfn._xlws.FILTER(CapacityTable[], (CapacityTable[Model] = $B$10) * (CapacityTable[T ext] = $D17) * (CapacityTable[T water out] = $E$8) * (CapacityTable[Type] = $C$10),Tableau2[]),1,7)</f>
        <v>6.6996169987390655</v>
      </c>
      <c r="H17" s="86" cm="1">
        <f t="array" ref="H17">INDEX(_xlfn._xlws.FILTER(CapacityTable[], (CapacityTable[Model] = $B$10) * (CapacityTable[T ext] = $D17) * (CapacityTable[T water out] = $H$8) * (CapacityTable[Type] = $C$10),Tableau2[]),1,5)</f>
        <v>7.1716114996271667</v>
      </c>
      <c r="I17" s="79" cm="1">
        <f t="array" ref="I17">INDEX(_xlfn._xlws.FILTER(CapacityTable[], (CapacityTable[Model] = $B$10) * (CapacityTable[T ext] = $D17) * (CapacityTable[T water out] = $H$8) * (CapacityTable[Type] = $C$10),Tableau2[]),1,6)</f>
        <v>1.4063828665427165</v>
      </c>
      <c r="J17" s="88" cm="1">
        <f t="array" ref="J17">INDEX(_xlfn._xlws.FILTER(CapacityTable[], (CapacityTable[Model] = $B$10) * (CapacityTable[T ext] = $D17) * (CapacityTable[T water out] = $H$8) * (CapacityTable[Type] = $C$10),Tableau2[]),1,7)</f>
        <v>4.993044990537113</v>
      </c>
      <c r="K17" s="76" cm="1">
        <f t="array" ref="K17">INDEX(_xlfn._xlws.FILTER(CapacityTable[], (CapacityTable[Model] = $B$10) * (CapacityTable[T ext] = $D17) * (CapacityTable[T water out] = $K$8) * (CapacityTable[Type] = $C$10),Tableau2[]),1,5)</f>
        <v>7.1717212205350007</v>
      </c>
      <c r="L17" s="79" cm="1">
        <f t="array" ref="L17">INDEX(_xlfn._xlws.FILTER(CapacityTable[], (CapacityTable[Model] = $B$10) * (CapacityTable[T ext] = $D17) * (CapacityTable[T water out] = $K$8) * (CapacityTable[Type] = $C$10),Tableau2[]),1,6)</f>
        <v>1.6003643781366161</v>
      </c>
      <c r="M17" s="80" cm="1">
        <f t="array" ref="M17">INDEX(_xlfn._xlws.FILTER(CapacityTable[], (CapacityTable[Model] = $B$10) * (CapacityTable[T ext] = $D17) * (CapacityTable[T water out] = $K$8) * (CapacityTable[Type] = $C$10),Tableau2[]),1,7)</f>
        <v>4.4012155026159778</v>
      </c>
      <c r="N17" s="76" cm="1">
        <f t="array" ref="N17">INDEX(_xlfn._xlws.FILTER(CapacityTable[], (CapacityTable[Model] = $B$10) * (CapacityTable[T ext] = $D17) * (CapacityTable[T water out] = $N$8) * (CapacityTable[Type] = $C$10),Tableau2[]),1,5)</f>
        <v>7.1715988909947281</v>
      </c>
      <c r="O17" s="79" cm="1">
        <f t="array" ref="O17">INDEX(_xlfn._xlws.FILTER(CapacityTable[], (CapacityTable[Model] = $B$10) * (CapacityTable[T ext] = $D17) * (CapacityTable[T water out] = $N$8) * (CapacityTable[Type] = $C$10),Tableau2[]),1,6)</f>
        <v>1.8063314077025139</v>
      </c>
      <c r="P17" s="80" cm="1">
        <f t="array" ref="P17">INDEX(_xlfn._xlws.FILTER(CapacityTable[], (CapacityTable[Model] = $B$10) * (CapacityTable[T ext] = $D17) * (CapacityTable[T water out] = $N$8) * (CapacityTable[Type] = $C$10),Tableau2[]),1,7)</f>
        <v>3.9092983772894785</v>
      </c>
      <c r="Q17" s="166" cm="1">
        <f t="array" ref="Q17">INDEX(_xlfn._xlws.FILTER(CapacityTable[], (CapacityTable[Model] = $B$10) * (CapacityTable[T ext] = $D17) * (CapacityTable[T water out] = $Q$8) * (CapacityTable[Type] = $C$10),Tableau2[]),1,5)</f>
        <v>7.1806802112688013</v>
      </c>
      <c r="R17" s="167" cm="1">
        <f t="array" ref="R17">INDEX(_xlfn._xlws.FILTER(CapacityTable[], (CapacityTable[Model] = $B$10) * (CapacityTable[T ext] = $D17) * (CapacityTable[T water out] = $Q$8) * (CapacityTable[Type] = $C$10),Tableau2[]),1,6)</f>
        <v>1.9754144702003535</v>
      </c>
      <c r="S17" s="168" cm="1">
        <f t="array" ref="S17">INDEX(_xlfn._xlws.FILTER(CapacityTable[], (CapacityTable[Model] = $B$10) * (CapacityTable[T ext] = $D17) * (CapacityTable[T water out] = $Q$8) * (CapacityTable[Type] = $C$10),Tableau2[]),1,7)</f>
        <v>3.6028308730056002</v>
      </c>
      <c r="T17" s="76" cm="1">
        <f t="array" ref="T17">INDEX(_xlfn._xlws.FILTER(CapacityTable[], (CapacityTable[Model] = $B$10) * (CapacityTable[T ext] = $D17) * (CapacityTable[T water out] = $T$8) * (CapacityTable[Type] = $C$10),Tableau2[]),1,5)</f>
        <v>7.1806011366308837</v>
      </c>
      <c r="U17" s="79" cm="1">
        <f t="array" ref="U17">INDEX(_xlfn._xlws.FILTER(CapacityTable[], (CapacityTable[Model] = $B$10) * (CapacityTable[T ext] = $D17) * (CapacityTable[T water out] = $T$8) * (CapacityTable[Type] = $C$10),Tableau2[]),1,6)</f>
        <v>2.2136647128093263</v>
      </c>
      <c r="V17" s="80" cm="1">
        <f t="array" ref="V17">INDEX(_xlfn._xlws.FILTER(CapacityTable[], (CapacityTable[Model] = $B$10) * (CapacityTable[T ext] = $D17) * (CapacityTable[T water out] = $T$8) * (CapacityTable[Type] = $C$10),Tableau2[]),1,7)</f>
        <v>3.2191118822406359</v>
      </c>
      <c r="W17" s="76" cm="1">
        <f t="array" ref="W17">INDEX(_xlfn._xlws.FILTER(CapacityTable[], (CapacityTable[Model] = $B$10) * (CapacityTable[T ext] = $D17) * (CapacityTable[T water out] = $W$8) * (CapacityTable[Type] = $C$10),Tableau2[]),1,5)</f>
        <v>7.1801113989000518</v>
      </c>
      <c r="X17" s="79" cm="1">
        <f t="array" ref="X17">INDEX(_xlfn._xlws.FILTER(CapacityTable[], (CapacityTable[Model] = $B$10) * (CapacityTable[T ext] = $D17) * (CapacityTable[T water out] = $W$8) * (CapacityTable[Type] = $C$10),Tableau2[]),1,6)</f>
        <v>2.4370555634164224</v>
      </c>
      <c r="Y17" s="80" cm="1">
        <f t="array" ref="Y17">INDEX(_xlfn._xlws.FILTER(CapacityTable[], (CapacityTable[Model] = $B$10) * (CapacityTable[T ext] = $D17) * (CapacityTable[T water out] = $W$8) * (CapacityTable[Type] = $C$10),Tableau2[]),1,7)</f>
        <v>2.9259139452569309</v>
      </c>
      <c r="Z17" s="76" cm="1">
        <f t="array" ref="Z17">INDEX(_xlfn._xlws.FILTER(CapacityTable[], (CapacityTable[Model] = $B$10) * (CapacityTable[T ext] = $D17) * (CapacityTable[T water out] = $Z$8) * (CapacityTable[Type] = $C$10),Tableau2[]),1,5)</f>
        <v>7.1801208364046101</v>
      </c>
      <c r="AA17" s="79" cm="1">
        <f t="array" ref="AA17">INDEX(_xlfn._xlws.FILTER(CapacityTable[], (CapacityTable[Model] = $B$10) * (CapacityTable[T ext] = $D17) * (CapacityTable[T water out] = $Z$8) * (CapacityTable[Type] = $C$10),Tableau2[]),1,6)</f>
        <v>2.7142432304606445</v>
      </c>
      <c r="AB17" s="80" cm="1">
        <f t="array" ref="AB17">INDEX(_xlfn._xlws.FILTER(CapacityTable[], (CapacityTable[Model] = $B$10) * (CapacityTable[T ext] = $D17) * (CapacityTable[T water out] = $Z$8) * (CapacityTable[Type] = $C$10),Tableau2[]),1,7)</f>
        <v>2.6296884706905788</v>
      </c>
      <c r="AC17" s="76" cm="1">
        <f t="array" ref="AC17">INDEX(_xlfn._xlws.FILTER(CapacityTable[], (CapacityTable[Model] = $B$10) * (CapacityTable[T ext] = $D17) * (CapacityTable[T water out] = $AC$8) * (CapacityTable[Type] = $C$10),Tableau2[]),1,5)</f>
        <v>7.1801024961346656</v>
      </c>
      <c r="AD17" s="79" cm="1">
        <f t="array" ref="AD17">INDEX(_xlfn._xlws.FILTER(CapacityTable[], (CapacityTable[Model] = $B$10) * (CapacityTable[T ext] = $D17) * (CapacityTable[T water out] = $AC$8) * (CapacityTable[Type] = $C$10),Tableau2[]),1,6)</f>
        <v>3.0176646239394045</v>
      </c>
      <c r="AE17" s="80" cm="1">
        <f t="array" ref="AE17">INDEX(_xlfn._xlws.FILTER(CapacityTable[], (CapacityTable[Model] = $B$10) * (CapacityTable[T ext] = $D17) * (CapacityTable[T water out] = $AC$8) * (CapacityTable[Type] = $C$10),Tableau2[]),1,7)</f>
        <v>2.3673401056928993</v>
      </c>
    </row>
    <row r="18" spans="1:31" ht="15.75" thickBot="1" x14ac:dyDescent="0.3">
      <c r="A18" s="31"/>
      <c r="B18" s="277"/>
      <c r="C18" s="281"/>
      <c r="D18" s="48">
        <v>20</v>
      </c>
      <c r="E18" s="89" cm="1">
        <f t="array" ref="E18">INDEX(_xlfn._xlws.FILTER(CapacityTable[], (CapacityTable[Model] = $B$10) * (CapacityTable[T ext] = $D18) * (CapacityTable[T water out] = $E$8) * (CapacityTable[Type] = $C$10),Tableau2[]),1,5)</f>
        <v>7.1715364786403253</v>
      </c>
      <c r="F18" s="90" cm="1">
        <f t="array" ref="F18">INDEX(_xlfn._xlws.FILTER(CapacityTable[], (CapacityTable[Model] = $B$10) * (CapacityTable[T ext] = $D18) * (CapacityTable[T water out] = $E$8) * (CapacityTable[Type] = $C$10),Tableau2[]),1,6)</f>
        <v>0.89004442808433482</v>
      </c>
      <c r="G18" s="91" cm="1">
        <f t="array" ref="G18">INDEX(_xlfn._xlws.FILTER(CapacityTable[], (CapacityTable[Model] = $B$10) * (CapacityTable[T ext] = $D18) * (CapacityTable[T water out] = $E$8) * (CapacityTable[Type] = $C$10),Tableau2[]),1,7)</f>
        <v>7.7764582528867594</v>
      </c>
      <c r="H18" s="89" cm="1">
        <f t="array" ref="H18">INDEX(_xlfn._xlws.FILTER(CapacityTable[], (CapacityTable[Model] = $B$10) * (CapacityTable[T ext] = $D18) * (CapacityTable[T water out] = $H$8) * (CapacityTable[Type] = $C$10),Tableau2[]),1,5)</f>
        <v>7.1714161850342215</v>
      </c>
      <c r="I18" s="90" cm="1">
        <f t="array" ref="I18">INDEX(_xlfn._xlws.FILTER(CapacityTable[], (CapacityTable[Model] = $B$10) * (CapacityTable[T ext] = $D18) * (CapacityTable[T water out] = $H$8) * (CapacityTable[Type] = $C$10),Tableau2[]),1,6)</f>
        <v>1.2281387323341948</v>
      </c>
      <c r="J18" s="91" cm="1">
        <f t="array" ref="J18">INDEX(_xlfn._xlws.FILTER(CapacityTable[], (CapacityTable[Model] = $B$10) * (CapacityTable[T ext] = $D18) * (CapacityTable[T water out] = $H$8) * (CapacityTable[Type] = $C$10),Tableau2[]),1,7)</f>
        <v>5.6973450768258331</v>
      </c>
      <c r="K18" s="76" cm="1">
        <f t="array" ref="K18">INDEX(_xlfn._xlws.FILTER(CapacityTable[], (CapacityTable[Model] = $B$10) * (CapacityTable[T ext] = $D18) * (CapacityTable[T water out] = $K$8) * (CapacityTable[Type] = $C$10),Tableau2[]),1,5)</f>
        <v>7.1716934711148577</v>
      </c>
      <c r="L18" s="79" cm="1">
        <f t="array" ref="L18">INDEX(_xlfn._xlws.FILTER(CapacityTable[], (CapacityTable[Model] = $B$10) * (CapacityTable[T ext] = $D18) * (CapacityTable[T water out] = $K$8) * (CapacityTable[Type] = $C$10),Tableau2[]),1,6)</f>
        <v>1.404082433340639</v>
      </c>
      <c r="M18" s="80" cm="1">
        <f t="array" ref="M18">INDEX(_xlfn._xlws.FILTER(CapacityTable[], (CapacityTable[Model] = $B$10) * (CapacityTable[T ext] = $D18) * (CapacityTable[T water out] = $K$8) * (CapacityTable[Type] = $C$10),Tableau2[]),1,7)</f>
        <v>5.001366999755505</v>
      </c>
      <c r="N18" s="76" cm="1">
        <f t="array" ref="N18">INDEX(_xlfn._xlws.FILTER(CapacityTable[], (CapacityTable[Model] = $B$10) * (CapacityTable[T ext] = $D18) * (CapacityTable[T water out] = $N$8) * (CapacityTable[Type] = $C$10),Tableau2[]),1,5)</f>
        <v>7.1718031897157939</v>
      </c>
      <c r="O18" s="79" cm="1">
        <f t="array" ref="O18">INDEX(_xlfn._xlws.FILTER(CapacityTable[], (CapacityTable[Model] = $B$10) * (CapacityTable[T ext] = $D18) * (CapacityTable[T water out] = $N$8) * (CapacityTable[Type] = $C$10),Tableau2[]),1,6)</f>
        <v>1.5909140318484825</v>
      </c>
      <c r="P18" s="80" cm="1">
        <f t="array" ref="P18">INDEX(_xlfn._xlws.FILTER(CapacityTable[], (CapacityTable[Model] = $B$10) * (CapacityTable[T ext] = $D18) * (CapacityTable[T water out] = $N$8) * (CapacityTable[Type] = $C$10),Tableau2[]),1,7)</f>
        <v>4.4270885324033111</v>
      </c>
      <c r="Q18" s="166" cm="1">
        <f t="array" ref="Q18">INDEX(_xlfn._xlws.FILTER(CapacityTable[], (CapacityTable[Model] = $B$10) * (CapacityTable[T ext] = $D18) * (CapacityTable[T water out] = $Q$8) * (CapacityTable[Type] = $C$10),Tableau2[]),1,5)</f>
        <v>7.1806088893682114</v>
      </c>
      <c r="R18" s="167" cm="1">
        <f t="array" ref="R18">INDEX(_xlfn._xlws.FILTER(CapacityTable[], (CapacityTable[Model] = $B$10) * (CapacityTable[T ext] = $D18) * (CapacityTable[T water out] = $Q$8) * (CapacityTable[Type] = $C$10),Tableau2[]),1,6)</f>
        <v>1.7428401929817163</v>
      </c>
      <c r="S18" s="168" cm="1">
        <f t="array" ref="S18">INDEX(_xlfn._xlws.FILTER(CapacityTable[], (CapacityTable[Model] = $B$10) * (CapacityTable[T ext] = $D18) * (CapacityTable[T water out] = $Q$8) * (CapacityTable[Type] = $C$10),Tableau2[]),1,7)</f>
        <v>4.0773951706707763</v>
      </c>
      <c r="T18" s="76" cm="1">
        <f t="array" ref="T18">INDEX(_xlfn._xlws.FILTER(CapacityTable[], (CapacityTable[Model] = $B$10) * (CapacityTable[T ext] = $D18) * (CapacityTable[T water out] = $T$8) * (CapacityTable[Type] = $C$10),Tableau2[]),1,5)</f>
        <v>7.1806940658831415</v>
      </c>
      <c r="U18" s="79" cm="1">
        <f t="array" ref="U18">INDEX(_xlfn._xlws.FILTER(CapacityTable[], (CapacityTable[Model] = $B$10) * (CapacityTable[T ext] = $D18) * (CapacityTable[T water out] = $T$8) * (CapacityTable[Type] = $C$10),Tableau2[]),1,6)</f>
        <v>1.9616755738643326</v>
      </c>
      <c r="V18" s="80" cm="1">
        <f t="array" ref="V18">INDEX(_xlfn._xlws.FILTER(CapacityTable[], (CapacityTable[Model] = $B$10) * (CapacityTable[T ext] = $D18) * (CapacityTable[T water out] = $T$8) * (CapacityTable[Type] = $C$10),Tableau2[]),1,7)</f>
        <v>3.6278139523635402</v>
      </c>
      <c r="W18" s="76" cm="1">
        <f t="array" ref="W18">INDEX(_xlfn._xlws.FILTER(CapacityTable[], (CapacityTable[Model] = $B$10) * (CapacityTable[T ext] = $D18) * (CapacityTable[T water out] = $W$8) * (CapacityTable[Type] = $C$10),Tableau2[]),1,5)</f>
        <v>7.1801293048173491</v>
      </c>
      <c r="X18" s="79" cm="1">
        <f t="array" ref="X18">INDEX(_xlfn._xlws.FILTER(CapacityTable[], (CapacityTable[Model] = $B$10) * (CapacityTable[T ext] = $D18) * (CapacityTable[T water out] = $W$8) * (CapacityTable[Type] = $C$10),Tableau2[]),1,6)</f>
        <v>2.1734295757114337</v>
      </c>
      <c r="Y18" s="80" cm="1">
        <f t="array" ref="Y18">INDEX(_xlfn._xlws.FILTER(CapacityTable[], (CapacityTable[Model] = $B$10) * (CapacityTable[T ext] = $D18) * (CapacityTable[T water out] = $W$8) * (CapacityTable[Type] = $C$10),Tableau2[]),1,7)</f>
        <v>3.276965683496436</v>
      </c>
      <c r="Z18" s="76" cm="1">
        <f t="array" ref="Z18">INDEX(_xlfn._xlws.FILTER(CapacityTable[], (CapacityTable[Model] = $B$10) * (CapacityTable[T ext] = $D18) * (CapacityTable[T water out] = $Z$8) * (CapacityTable[Type] = $C$10),Tableau2[]),1,5)</f>
        <v>7.1801031080800142</v>
      </c>
      <c r="AA18" s="79" cm="1">
        <f t="array" ref="AA18">INDEX(_xlfn._xlws.FILTER(CapacityTable[], (CapacityTable[Model] = $B$10) * (CapacityTable[T ext] = $D18) * (CapacityTable[T water out] = $Z$8) * (CapacityTable[Type] = $C$10),Tableau2[]),1,6)</f>
        <v>2.4395904819711878</v>
      </c>
      <c r="AB18" s="80" cm="1">
        <f t="array" ref="AB18">INDEX(_xlfn._xlws.FILTER(CapacityTable[], (CapacityTable[Model] = $B$10) * (CapacityTable[T ext] = $D18) * (CapacityTable[T water out] = $Z$8) * (CapacityTable[Type] = $C$10),Tableau2[]),1,7)</f>
        <v>2.9228997226022582</v>
      </c>
      <c r="AC18" s="76" cm="1">
        <f t="array" ref="AC18">INDEX(_xlfn._xlws.FILTER(CapacityTable[], (CapacityTable[Model] = $B$10) * (CapacityTable[T ext] = $D18) * (CapacityTable[T water out] = $AC$8) * (CapacityTable[Type] = $C$10),Tableau2[]),1,5)</f>
        <v>7.1801193275647597</v>
      </c>
      <c r="AD18" s="79" cm="1">
        <f t="array" ref="AD18">INDEX(_xlfn._xlws.FILTER(CapacityTable[], (CapacityTable[Model] = $B$10) * (CapacityTable[T ext] = $D18) * (CapacityTable[T water out] = $AC$8) * (CapacityTable[Type] = $C$10),Tableau2[]),1,6)</f>
        <v>2.735439398756629</v>
      </c>
      <c r="AE18" s="80" cm="1">
        <f t="array" ref="AE18">INDEX(_xlfn._xlws.FILTER(CapacityTable[], (CapacityTable[Model] = $B$10) * (CapacityTable[T ext] = $D18) * (CapacityTable[T water out] = $AC$8) * (CapacityTable[Type] = $C$10),Tableau2[]),1,7)</f>
        <v>2.6094825929304304</v>
      </c>
    </row>
    <row r="19" spans="1:31" x14ac:dyDescent="0.25">
      <c r="A19" s="31"/>
      <c r="B19" s="277"/>
      <c r="C19" s="282" t="s">
        <v>156</v>
      </c>
      <c r="D19" s="42">
        <v>-20</v>
      </c>
      <c r="E19" s="101" cm="1">
        <f t="array" ref="E19">INDEX(_xlfn._xlws.FILTER(CapacityTable[], (CapacityTable[Model] = $B$10) * (CapacityTable[T ext] = $D19) * (CapacityTable[T water out] = $E$8) * (CapacityTable[Type] = $C$19),Tableau2[]),1,5)</f>
        <v>2.0958341424483202</v>
      </c>
      <c r="F19" s="102" cm="1">
        <f t="array" ref="F19">INDEX(_xlfn._xlws.FILTER(CapacityTable[], (CapacityTable[Model] = $B$10) * (CapacityTable[T ext] = $D19) * (CapacityTable[T water out] = $E$8) * (CapacityTable[Type] = $C$19),Tableau2[]),1,6)</f>
        <v>0.85734976643982475</v>
      </c>
      <c r="G19" s="103" cm="1">
        <f t="array" ref="G19">INDEX(_xlfn._xlws.FILTER(CapacityTable[], (CapacityTable[Model] = $B$10) * (CapacityTable[T ext] = $D19) * (CapacityTable[T water out] = $E$8) * (CapacityTable[Type] = $C$19),Tableau2[]),1,7)</f>
        <v>2.4445497327786598</v>
      </c>
      <c r="H19" s="101" cm="1">
        <f t="array" ref="H19">INDEX(_xlfn._xlws.FILTER(CapacityTable[], (CapacityTable[Model] = $B$10) * (CapacityTable[T ext] = $D19) * (CapacityTable[T water out] = $H$8) * (CapacityTable[Type] = $C$19),Tableau2[]),1,5)</f>
        <v>2.62524362263138</v>
      </c>
      <c r="I19" s="102" cm="1">
        <f t="array" ref="I19">INDEX(_xlfn._xlws.FILTER(CapacityTable[], (CapacityTable[Model] = $B$10) * (CapacityTable[T ext] = $D19) * (CapacityTable[T water out] = $H$8) * (CapacityTable[Type] = $C$19),Tableau2[]),1,6)</f>
        <v>1.3090213820868961</v>
      </c>
      <c r="J19" s="85" cm="1">
        <f t="array" ref="J19">INDEX(_xlfn._xlws.FILTER(CapacityTable[], (CapacityTable[Model] = $B$10) * (CapacityTable[T ext] = $D19) * (CapacityTable[T water out] = $H$8) * (CapacityTable[Type] = $C$19),Tableau2[]),1,7)</f>
        <v>2.00550094792654</v>
      </c>
      <c r="K19" s="101" cm="1">
        <f t="array" ref="K19">INDEX(_xlfn._xlws.FILTER(CapacityTable[], (CapacityTable[Model] = $B$10) * (CapacityTable[T ext] = $D19) * (CapacityTable[T water out] = $K$8) * (CapacityTable[Type] = $C$19),Tableau2[]),1,5)</f>
        <v>2.82188482677339</v>
      </c>
      <c r="L19" s="102" cm="1">
        <f t="array" ref="L19">INDEX(_xlfn._xlws.FILTER(CapacityTable[], (CapacityTable[Model] = $B$10) * (CapacityTable[T ext] = $D19) * (CapacityTable[T water out] = $K$8) * (CapacityTable[Type] = $C$19),Tableau2[]),1,6)</f>
        <v>1.5124090602361147</v>
      </c>
      <c r="M19" s="103" cm="1">
        <f t="array" ref="M19">INDEX(_xlfn._xlws.FILTER(CapacityTable[], (CapacityTable[Model] = $B$10) * (CapacityTable[T ext] = $D19) * (CapacityTable[T water out] = $K$8) * (CapacityTable[Type] = $C$19),Tableau2[]),1,7)</f>
        <v>1.8658211597415599</v>
      </c>
      <c r="N19" s="101" cm="1">
        <f t="array" ref="N19">INDEX(_xlfn._xlws.FILTER(CapacityTable[], (CapacityTable[Model] = $B$10) * (CapacityTable[T ext] = $D19) * (CapacityTable[T water out] = $N$8) * (CapacityTable[Type] = $C$19),Tableau2[]),1,5)</f>
        <v>2.8009129890969398</v>
      </c>
      <c r="O19" s="102" cm="1">
        <f t="array" ref="O19">INDEX(_xlfn._xlws.FILTER(CapacityTable[], (CapacityTable[Model] = $B$10) * (CapacityTable[T ext] = $D19) * (CapacityTable[T water out] = $N$8) * (CapacityTable[Type] = $C$19),Tableau2[]),1,6)</f>
        <v>1.6028427711977886</v>
      </c>
      <c r="P19" s="103" cm="1">
        <f t="array" ref="P19">INDEX(_xlfn._xlws.FILTER(CapacityTable[], (CapacityTable[Model] = $B$10) * (CapacityTable[T ext] = $D19) * (CapacityTable[T water out] = $N$8) * (CapacityTable[Type] = $C$19),Tableau2[]),1,7)</f>
        <v>1.74746583971168</v>
      </c>
      <c r="Q19" s="101" cm="1">
        <f t="array" ref="Q19">INDEX(_xlfn._xlws.FILTER(CapacityTable[], (CapacityTable[Model] = $B$10) * (CapacityTable[T ext] = $D19) * (CapacityTable[T water out] = $Q$8) * (CapacityTable[Type] = $C$19),Tableau2[]),1,5)</f>
        <v>2.7820938554839199</v>
      </c>
      <c r="R19" s="102" cm="1">
        <f t="array" ref="R19">INDEX(_xlfn._xlws.FILTER(CapacityTable[], (CapacityTable[Model] = $B$10) * (CapacityTable[T ext] = $D19) * (CapacityTable[T water out] = $Q$8) * (CapacityTable[Type] = $C$19),Tableau2[]),1,6)</f>
        <v>1.6915779340510158</v>
      </c>
      <c r="S19" s="103" cm="1">
        <f t="array" ref="S19">INDEX(_xlfn._xlws.FILTER(CapacityTable[], (CapacityTable[Model] = $B$10) * (CapacityTable[T ext] = $D19) * (CapacityTable[T water out] = $Q$8) * (CapacityTable[Type] = $C$19),Tableau2[]),1,7)</f>
        <v>1.64467376848628</v>
      </c>
      <c r="T19" s="101" cm="1">
        <f t="array" ref="T19">INDEX(_xlfn._xlws.FILTER(CapacityTable[], (CapacityTable[Model] = $B$10) * (CapacityTable[T ext] = $D19) * (CapacityTable[T water out] = $T$8) * (CapacityTable[Type] = $C$19),Tableau2[]),1,5)</f>
        <v>2.7584830804814402</v>
      </c>
      <c r="U19" s="102" cm="1">
        <f t="array" ref="U19">INDEX(_xlfn._xlws.FILTER(CapacityTable[], (CapacityTable[Model] = $B$10) * (CapacityTable[T ext] = $D19) * (CapacityTable[T water out] = $T$8) * (CapacityTable[Type] = $C$19),Tableau2[]),1,6)</f>
        <v>1.7903498601975449</v>
      </c>
      <c r="V19" s="103" cm="1">
        <f t="array" ref="V19">INDEX(_xlfn._xlws.FILTER(CapacityTable[], (CapacityTable[Model] = $B$10) * (CapacityTable[T ext] = $D19) * (CapacityTable[T water out] = $T$8) * (CapacityTable[Type] = $C$19),Tableau2[]),1,7)</f>
        <v>1.54075085647063</v>
      </c>
      <c r="W19" s="101" cm="1">
        <f t="array" ref="W19">INDEX(_xlfn._xlws.FILTER(CapacityTable[], (CapacityTable[Model] = $B$10) * (CapacityTable[T ext] = $D19) * (CapacityTable[T water out] = $W$8) * (CapacityTable[Type] = $C$19),Tableau2[]),1,5)</f>
        <v>2.7310974882297803</v>
      </c>
      <c r="X19" s="102" cm="1">
        <f t="array" ref="X19">INDEX(_xlfn._xlws.FILTER(CapacityTable[], (CapacityTable[Model] = $B$10) * (CapacityTable[T ext] = $D19) * (CapacityTable[T water out] = $W$8) * (CapacityTable[Type] = $C$19),Tableau2[]),1,6)</f>
        <v>1.896787413093499</v>
      </c>
      <c r="Y19" s="103" cm="1">
        <f t="array" ref="Y19">INDEX(_xlfn._xlws.FILTER(CapacityTable[], (CapacityTable[Model] = $B$10) * (CapacityTable[T ext] = $D19) * (CapacityTable[T water out] = $W$8) * (CapacityTable[Type] = $C$19),Tableau2[]),1,7)</f>
        <v>1.4398542869786299</v>
      </c>
      <c r="Z19" s="101" cm="1">
        <f t="array" ref="Z19">INDEX(_xlfn._xlws.FILTER(CapacityTable[], (CapacityTable[Model] = $B$10) * (CapacityTable[T ext] = $D19) * (CapacityTable[T water out] = $Z$8) * (CapacityTable[Type] = $C$19),Tableau2[]),1,5)</f>
        <v>2.7004866463499102</v>
      </c>
      <c r="AA19" s="102" cm="1">
        <f t="array" ref="AA19">INDEX(_xlfn._xlws.FILTER(CapacityTable[], (CapacityTable[Model] = $B$10) * (CapacityTable[T ext] = $D19) * (CapacityTable[T water out] = $Z$8) * (CapacityTable[Type] = $C$19),Tableau2[]),1,6)</f>
        <v>2.0129186454030621</v>
      </c>
      <c r="AB19" s="103" cm="1">
        <f t="array" ref="AB19">INDEX(_xlfn._xlws.FILTER(CapacityTable[], (CapacityTable[Model] = $B$10) * (CapacityTable[T ext] = $D19) * (CapacityTable[T water out] = $Z$8) * (CapacityTable[Type] = $C$19),Tableau2[]),1,7)</f>
        <v>1.3415776402673101</v>
      </c>
      <c r="AC19" s="101" t="str" cm="1">
        <f t="array" ref="AC19">INDEX(_xlfn._xlws.FILTER(CapacityTable[], (CapacityTable[Model] = $B$10) * (CapacityTable[T ext] = $D19) * (CapacityTable[T water out] = $AC$8) * (CapacityTable[Type] = $C$19),Tableau2[]),1,5)</f>
        <v>N.A.</v>
      </c>
      <c r="AD19" s="102" t="str" cm="1">
        <f t="array" ref="AD19">INDEX(_xlfn._xlws.FILTER(CapacityTable[], (CapacityTable[Model] = $B$10) * (CapacityTable[T ext] = $D19) * (CapacityTable[T water out] = $AC$8) * (CapacityTable[Type] = $C$19),Tableau2[]),1,6)</f>
        <v>N.A.</v>
      </c>
      <c r="AE19" s="103" t="str" cm="1">
        <f t="array" ref="AE19">INDEX(_xlfn._xlws.FILTER(CapacityTable[], (CapacityTable[Model] = $B$10) * (CapacityTable[T ext] = $D19) * (CapacityTable[T water out] = $AC$8) * (CapacityTable[Type] = $C$19),Tableau2[]),1,7)</f>
        <v>N.A.</v>
      </c>
    </row>
    <row r="20" spans="1:31" x14ac:dyDescent="0.25">
      <c r="A20" s="31"/>
      <c r="B20" s="277"/>
      <c r="C20" s="279"/>
      <c r="D20" s="37">
        <v>-15</v>
      </c>
      <c r="E20" s="170" cm="1">
        <f t="array" ref="E20">INDEX(_xlfn._xlws.FILTER(CapacityTable[], (CapacityTable[Model] = $B$10) * (CapacityTable[T ext] = $D20) * (CapacityTable[T water out] = $E$8) * (CapacityTable[Type] = $C$19),Tableau2[]),1,5)</f>
        <v>2.3191272437202</v>
      </c>
      <c r="F20" s="96" cm="1">
        <f t="array" ref="F20">INDEX(_xlfn._xlws.FILTER(CapacityTable[], (CapacityTable[Model] = $B$10) * (CapacityTable[T ext] = $D20) * (CapacityTable[T water out] = $E$8) * (CapacityTable[Type] = $C$19),Tableau2[]),1,6)</f>
        <v>0.80285347669748286</v>
      </c>
      <c r="G20" s="171" cm="1">
        <f t="array" ref="G20">INDEX(_xlfn._xlws.FILTER(CapacityTable[], (CapacityTable[Model] = $B$10) * (CapacityTable[T ext] = $D20) * (CapacityTable[T water out] = $E$8) * (CapacityTable[Type] = $C$19),Tableau2[]),1,7)</f>
        <v>2.8886058428243602</v>
      </c>
      <c r="H20" s="172" cm="1">
        <f t="array" ref="H20">INDEX(_xlfn._xlws.FILTER(CapacityTable[], (CapacityTable[Model] = $B$10) * (CapacityTable[T ext] = $D20) * (CapacityTable[T water out] = $H$8) * (CapacityTable[Type] = $C$19),Tableau2[]),1,5)</f>
        <v>2.6742057917375699</v>
      </c>
      <c r="I20" s="96" cm="1">
        <f t="array" ref="I20">INDEX(_xlfn._xlws.FILTER(CapacityTable[], (CapacityTable[Model] = $B$10) * (CapacityTable[T ext] = $D20) * (CapacityTable[T water out] = $H$8) * (CapacityTable[Type] = $C$19),Tableau2[]),1,6)</f>
        <v>1.1557155730810171</v>
      </c>
      <c r="J20" s="87" cm="1">
        <f t="array" ref="J20">INDEX(_xlfn._xlws.FILTER(CapacityTable[], (CapacityTable[Model] = $B$10) * (CapacityTable[T ext] = $D20) * (CapacityTable[T water out] = $H$8) * (CapacityTable[Type] = $C$19),Tableau2[]),1,7)</f>
        <v>2.3138961298309901</v>
      </c>
      <c r="K20" s="95" cm="1">
        <f t="array" ref="K20">INDEX(_xlfn._xlws.FILTER(CapacityTable[], (CapacityTable[Model] = $B$10) * (CapacityTable[T ext] = $D20) * (CapacityTable[T water out] = $K$8) * (CapacityTable[Type] = $C$19),Tableau2[]),1,5)</f>
        <v>2.8730343193624197</v>
      </c>
      <c r="L20" s="96" cm="1">
        <f t="array" ref="L20">INDEX(_xlfn._xlws.FILTER(CapacityTable[], (CapacityTable[Model] = $B$10) * (CapacityTable[T ext] = $D20) * (CapacityTable[T water out] = $K$8) * (CapacityTable[Type] = $C$19),Tableau2[]),1,6)</f>
        <v>1.3505933258252092</v>
      </c>
      <c r="M20" s="179" cm="1">
        <f t="array" ref="M20">INDEX(_xlfn._xlws.FILTER(CapacityTable[], (CapacityTable[Model] = $B$10) * (CapacityTable[T ext] = $D20) * (CapacityTable[T water out] = $K$8) * (CapacityTable[Type] = $C$19),Tableau2[]),1,7)</f>
        <v>2.1272386472123301</v>
      </c>
      <c r="N20" s="95" cm="1">
        <f t="array" ref="N20">INDEX(_xlfn._xlws.FILTER(CapacityTable[], (CapacityTable[Model] = $B$10) * (CapacityTable[T ext] = $D20) * (CapacityTable[T water out] = $N$8) * (CapacityTable[Type] = $C$19),Tableau2[]),1,5)</f>
        <v>2.83633987042312</v>
      </c>
      <c r="O20" s="96" cm="1">
        <f t="array" ref="O20">INDEX(_xlfn._xlws.FILTER(CapacityTable[], (CapacityTable[Model] = $B$10) * (CapacityTable[T ext] = $D20) * (CapacityTable[T water out] = $N$8) * (CapacityTable[Type] = $C$19),Tableau2[]),1,6)</f>
        <v>1.4404271404600468</v>
      </c>
      <c r="P20" s="179" cm="1">
        <f t="array" ref="P20">INDEX(_xlfn._xlws.FILTER(CapacityTable[], (CapacityTable[Model] = $B$10) * (CapacityTable[T ext] = $D20) * (CapacityTable[T water out] = $N$8) * (CapacityTable[Type] = $C$19),Tableau2[]),1,7)</f>
        <v>1.9690963817283</v>
      </c>
      <c r="Q20" s="95" cm="1">
        <f t="array" ref="Q20">INDEX(_xlfn._xlws.FILTER(CapacityTable[], (CapacityTable[Model] = $B$10) * (CapacityTable[T ext] = $D20) * (CapacityTable[T water out] = $Q$8) * (CapacityTable[Type] = $C$19),Tableau2[]),1,5)</f>
        <v>3.3004670822345501</v>
      </c>
      <c r="R20" s="96" cm="1">
        <f t="array" ref="R20">INDEX(_xlfn._xlws.FILTER(CapacityTable[], (CapacityTable[Model] = $B$10) * (CapacityTable[T ext] = $D20) * (CapacityTable[T water out] = $Q$8) * (CapacityTable[Type] = $C$19),Tableau2[]),1,6)</f>
        <v>1.7897884698554918</v>
      </c>
      <c r="S20" s="179" cm="1">
        <f t="array" ref="S20">INDEX(_xlfn._xlws.FILTER(CapacityTable[], (CapacityTable[Model] = $B$10) * (CapacityTable[T ext] = $D20) * (CapacityTable[T water out] = $Q$8) * (CapacityTable[Type] = $C$19),Tableau2[]),1,7)</f>
        <v>1.84405427670513</v>
      </c>
      <c r="T20" s="95" cm="1">
        <f t="array" ref="T20">INDEX(_xlfn._xlws.FILTER(CapacityTable[], (CapacityTable[Model] = $B$10) * (CapacityTable[T ext] = $D20) * (CapacityTable[T water out] = $T$8) * (CapacityTable[Type] = $C$19),Tableau2[]),1,5)</f>
        <v>3.2593423588422303</v>
      </c>
      <c r="U20" s="96" cm="1">
        <f t="array" ref="U20">INDEX(_xlfn._xlws.FILTER(CapacityTable[], (CapacityTable[Model] = $B$10) * (CapacityTable[T ext] = $D20) * (CapacityTable[T water out] = $T$8) * (CapacityTable[Type] = $C$19),Tableau2[]),1,6)</f>
        <v>1.8994063059329482</v>
      </c>
      <c r="V20" s="179" cm="1">
        <f t="array" ref="V20">INDEX(_xlfn._xlws.FILTER(CapacityTable[], (CapacityTable[Model] = $B$10) * (CapacityTable[T ext] = $D20) * (CapacityTable[T water out] = $T$8) * (CapacityTable[Type] = $C$19),Tableau2[]),1,7)</f>
        <v>1.7159795398495901</v>
      </c>
      <c r="W20" s="95" cm="1">
        <f t="array" ref="W20">INDEX(_xlfn._xlws.FILTER(CapacityTable[], (CapacityTable[Model] = $B$10) * (CapacityTable[T ext] = $D20) * (CapacityTable[T water out] = $W$8) * (CapacityTable[Type] = $C$19),Tableau2[]),1,5)</f>
        <v>3.21492440189847</v>
      </c>
      <c r="X20" s="96" cm="1">
        <f t="array" ref="X20">INDEX(_xlfn._xlws.FILTER(CapacityTable[], (CapacityTable[Model] = $B$10) * (CapacityTable[T ext] = $D20) * (CapacityTable[T water out] = $W$8) * (CapacityTable[Type] = $C$19),Tableau2[]),1,6)</f>
        <v>2.0167825544146853</v>
      </c>
      <c r="Y20" s="179" cm="1">
        <f t="array" ref="Y20">INDEX(_xlfn._xlws.FILTER(CapacityTable[], (CapacityTable[Model] = $B$10) * (CapacityTable[T ext] = $D20) * (CapacityTable[T water out] = $W$8) * (CapacityTable[Type] = $C$19),Tableau2[]),1,7)</f>
        <v>1.5940857852330601</v>
      </c>
      <c r="Z20" s="95" cm="1">
        <f t="array" ref="Z20">INDEX(_xlfn._xlws.FILTER(CapacityTable[], (CapacityTable[Model] = $B$10) * (CapacityTable[T ext] = $D20) * (CapacityTable[T water out] = $Z$8) * (CapacityTable[Type] = $C$19),Tableau2[]),1,5)</f>
        <v>3.1674165013792197</v>
      </c>
      <c r="AA20" s="96" cm="1">
        <f t="array" ref="AA20">INDEX(_xlfn._xlws.FILTER(CapacityTable[], (CapacityTable[Model] = $B$10) * (CapacityTable[T ext] = $D20) * (CapacityTable[T water out] = $Z$8) * (CapacityTable[Type] = $C$19),Tableau2[]),1,6)</f>
        <v>2.1436623869308598</v>
      </c>
      <c r="AB20" s="179" cm="1">
        <f t="array" ref="AB20">INDEX(_xlfn._xlws.FILTER(CapacityTable[], (CapacityTable[Model] = $B$10) * (CapacityTable[T ext] = $D20) * (CapacityTable[T water out] = $Z$8) * (CapacityTable[Type] = $C$19),Tableau2[]),1,7)</f>
        <v>1.47757245762664</v>
      </c>
      <c r="AC20" s="95" t="str" cm="1">
        <f t="array" ref="AC20">INDEX(_xlfn._xlws.FILTER(CapacityTable[], (CapacityTable[Model] = $B$10) * (CapacityTable[T ext] = $D20) * (CapacityTable[T water out] = $AC$8) * (CapacityTable[Type] = $C$19),Tableau2[]),1,5)</f>
        <v>N.A.</v>
      </c>
      <c r="AD20" s="96" t="str" cm="1">
        <f t="array" ref="AD20">INDEX(_xlfn._xlws.FILTER(CapacityTable[], (CapacityTable[Model] = $B$10) * (CapacityTable[T ext] = $D20) * (CapacityTable[T water out] = $AC$8) * (CapacityTable[Type] = $C$19),Tableau2[]),1,6)</f>
        <v>N.A.</v>
      </c>
      <c r="AE20" s="179" t="str" cm="1">
        <f t="array" ref="AE20">INDEX(_xlfn._xlws.FILTER(CapacityTable[], (CapacityTable[Model] = $B$10) * (CapacityTable[T ext] = $D20) * (CapacityTable[T water out] = $AC$8) * (CapacityTable[Type] = $C$19),Tableau2[]),1,7)</f>
        <v>N.A.</v>
      </c>
    </row>
    <row r="21" spans="1:31" x14ac:dyDescent="0.25">
      <c r="A21" s="31"/>
      <c r="B21" s="277"/>
      <c r="C21" s="279"/>
      <c r="D21" s="37">
        <v>-10</v>
      </c>
      <c r="E21" s="170" cm="1">
        <f t="array" ref="E21">INDEX(_xlfn._xlws.FILTER(CapacityTable[], (CapacityTable[Model] = $B$10) * (CapacityTable[T ext] = $D21) * (CapacityTable[T water out] = $E$8) * (CapacityTable[Type] = $C$19),Tableau2[]),1,5)</f>
        <v>2.7818204178791799</v>
      </c>
      <c r="F21" s="96" cm="1">
        <f t="array" ref="F21">INDEX(_xlfn._xlws.FILTER(CapacityTable[], (CapacityTable[Model] = $B$10) * (CapacityTable[T ext] = $D21) * (CapacityTable[T water out] = $E$8) * (CapacityTable[Type] = $C$19),Tableau2[]),1,6)</f>
        <v>0.82278244700725833</v>
      </c>
      <c r="G21" s="171" cm="1">
        <f t="array" ref="G21">INDEX(_xlfn._xlws.FILTER(CapacityTable[], (CapacityTable[Model] = $B$10) * (CapacityTable[T ext] = $D21) * (CapacityTable[T water out] = $E$8) * (CapacityTable[Type] = $C$19),Tableau2[]),1,7)</f>
        <v>3.3809914491948798</v>
      </c>
      <c r="H21" s="172" cm="1">
        <f t="array" ref="H21">INDEX(_xlfn._xlws.FILTER(CapacityTable[], (CapacityTable[Model] = $B$10) * (CapacityTable[T ext] = $D21) * (CapacityTable[T water out] = $H$8) * (CapacityTable[Type] = $C$19),Tableau2[]),1,5)</f>
        <v>2.9162568159699398</v>
      </c>
      <c r="I21" s="96" cm="1">
        <f t="array" ref="I21">INDEX(_xlfn._xlws.FILTER(CapacityTable[], (CapacityTable[Model] = $B$10) * (CapacityTable[T ext] = $D21) * (CapacityTable[T water out] = $H$8) * (CapacityTable[Type] = $C$19),Tableau2[]),1,6)</f>
        <v>1.0903660205583063</v>
      </c>
      <c r="J21" s="87" cm="1">
        <f t="array" ref="J21">INDEX(_xlfn._xlws.FILTER(CapacityTable[], (CapacityTable[Model] = $B$10) * (CapacityTable[T ext] = $D21) * (CapacityTable[T water out] = $H$8) * (CapacityTable[Type] = $C$19),Tableau2[]),1,7)</f>
        <v>2.6745668527681299</v>
      </c>
      <c r="K21" s="95" cm="1">
        <f t="array" ref="K21">INDEX(_xlfn._xlws.FILTER(CapacityTable[], (CapacityTable[Model] = $B$10) * (CapacityTable[T ext] = $D21) * (CapacityTable[T water out] = $K$8) * (CapacityTable[Type] = $C$19),Tableau2[]),1,5)</f>
        <v>2.8643783154074498</v>
      </c>
      <c r="L21" s="96" cm="1">
        <f t="array" ref="L21">INDEX(_xlfn._xlws.FILTER(CapacityTable[], (CapacityTable[Model] = $B$10) * (CapacityTable[T ext] = $D21) * (CapacityTable[T water out] = $K$8) * (CapacityTable[Type] = $C$19),Tableau2[]),1,6)</f>
        <v>1.1754819438234823</v>
      </c>
      <c r="M21" s="179" cm="1">
        <f t="array" ref="M21">INDEX(_xlfn._xlws.FILTER(CapacityTable[], (CapacityTable[Model] = $B$10) * (CapacityTable[T ext] = $D21) * (CapacityTable[T water out] = $K$8) * (CapacityTable[Type] = $C$19),Tableau2[]),1,7)</f>
        <v>2.4367693016963798</v>
      </c>
      <c r="N21" s="95" cm="1">
        <f t="array" ref="N21">INDEX(_xlfn._xlws.FILTER(CapacityTable[], (CapacityTable[Model] = $B$10) * (CapacityTable[T ext] = $D21) * (CapacityTable[T water out] = $N$8) * (CapacityTable[Type] = $C$19),Tableau2[]),1,5)</f>
        <v>3.0950961313722503</v>
      </c>
      <c r="O21" s="96" cm="1">
        <f t="array" ref="O21">INDEX(_xlfn._xlws.FILTER(CapacityTable[], (CapacityTable[Model] = $B$10) * (CapacityTable[T ext] = $D21) * (CapacityTable[T water out] = $N$8) * (CapacityTable[Type] = $C$19),Tableau2[]),1,6)</f>
        <v>1.3845882433819983</v>
      </c>
      <c r="P21" s="179" cm="1">
        <f t="array" ref="P21">INDEX(_xlfn._xlws.FILTER(CapacityTable[], (CapacityTable[Model] = $B$10) * (CapacityTable[T ext] = $D21) * (CapacityTable[T water out] = $N$8) * (CapacityTable[Type] = $C$19),Tableau2[]),1,7)</f>
        <v>2.2353910241301498</v>
      </c>
      <c r="Q21" s="95" cm="1">
        <f t="array" ref="Q21">INDEX(_xlfn._xlws.FILTER(CapacityTable[], (CapacityTable[Model] = $B$10) * (CapacityTable[T ext] = $D21) * (CapacityTable[T water out] = $Q$8) * (CapacityTable[Type] = $C$19),Tableau2[]),1,5)</f>
        <v>3.32551289420282</v>
      </c>
      <c r="R21" s="96" cm="1">
        <f t="array" ref="R21">INDEX(_xlfn._xlws.FILTER(CapacityTable[], (CapacityTable[Model] = $B$10) * (CapacityTable[T ext] = $D21) * (CapacityTable[T water out] = $Q$8) * (CapacityTable[Type] = $C$19),Tableau2[]),1,6)</f>
        <v>1.5996315829300409</v>
      </c>
      <c r="S21" s="179" cm="1">
        <f t="array" ref="S21">INDEX(_xlfn._xlws.FILTER(CapacityTable[], (CapacityTable[Model] = $B$10) * (CapacityTable[T ext] = $D21) * (CapacityTable[T water out] = $Q$8) * (CapacityTable[Type] = $C$19),Tableau2[]),1,7)</f>
        <v>2.0789242533655701</v>
      </c>
      <c r="T21" s="95" cm="1">
        <f t="array" ref="T21">INDEX(_xlfn._xlws.FILTER(CapacityTable[], (CapacityTable[Model] = $B$10) * (CapacityTable[T ext] = $D21) * (CapacityTable[T water out] = $T$8) * (CapacityTable[Type] = $C$19),Tableau2[]),1,5)</f>
        <v>3.82572556016714</v>
      </c>
      <c r="U21" s="96" cm="1">
        <f t="array" ref="U21">INDEX(_xlfn._xlws.FILTER(CapacityTable[], (CapacityTable[Model] = $B$10) * (CapacityTable[T ext] = $D21) * (CapacityTable[T water out] = $T$8) * (CapacityTable[Type] = $C$19),Tableau2[]),1,6)</f>
        <v>1.9934963888610195</v>
      </c>
      <c r="V21" s="179" cm="1">
        <f t="array" ref="V21">INDEX(_xlfn._xlws.FILTER(CapacityTable[], (CapacityTable[Model] = $B$10) * (CapacityTable[T ext] = $D21) * (CapacityTable[T water out] = $T$8) * (CapacityTable[Type] = $C$19),Tableau2[]),1,7)</f>
        <v>1.91910333098369</v>
      </c>
      <c r="W21" s="95" cm="1">
        <f t="array" ref="W21">INDEX(_xlfn._xlws.FILTER(CapacityTable[], (CapacityTable[Model] = $B$10) * (CapacityTable[T ext] = $D21) * (CapacityTable[T water out] = $W$8) * (CapacityTable[Type] = $C$19),Tableau2[]),1,5)</f>
        <v>3.76032690636365</v>
      </c>
      <c r="X21" s="96" cm="1">
        <f t="array" ref="X21">INDEX(_xlfn._xlws.FILTER(CapacityTable[], (CapacityTable[Model] = $B$10) * (CapacityTable[T ext] = $D21) * (CapacityTable[T water out] = $W$8) * (CapacityTable[Type] = $C$19),Tableau2[]),1,6)</f>
        <v>2.1217220911855721</v>
      </c>
      <c r="Y21" s="179" cm="1">
        <f t="array" ref="Y21">INDEX(_xlfn._xlws.FILTER(CapacityTable[], (CapacityTable[Model] = $B$10) * (CapacityTable[T ext] = $D21) * (CapacityTable[T water out] = $W$8) * (CapacityTable[Type] = $C$19),Tableau2[]),1,7)</f>
        <v>1.7722994552328299</v>
      </c>
      <c r="Z21" s="95" cm="1">
        <f t="array" ref="Z21">INDEX(_xlfn._xlws.FILTER(CapacityTable[], (CapacityTable[Model] = $B$10) * (CapacityTable[T ext] = $D21) * (CapacityTable[T water out] = $Z$8) * (CapacityTable[Type] = $C$19),Tableau2[]),1,5)</f>
        <v>3.6919340702968797</v>
      </c>
      <c r="AA21" s="96" cm="1">
        <f t="array" ref="AA21">INDEX(_xlfn._xlws.FILTER(CapacityTable[], (CapacityTable[Model] = $B$10) * (CapacityTable[T ext] = $D21) * (CapacityTable[T water out] = $Z$8) * (CapacityTable[Type] = $C$19),Tableau2[]),1,6)</f>
        <v>2.2590978979222762</v>
      </c>
      <c r="AB21" s="179" cm="1">
        <f t="array" ref="AB21">INDEX(_xlfn._xlws.FILTER(CapacityTable[], (CapacityTable[Model] = $B$10) * (CapacityTable[T ext] = $D21) * (CapacityTable[T water out] = $Z$8) * (CapacityTable[Type] = $C$19),Tableau2[]),1,7)</f>
        <v>1.6342514743130001</v>
      </c>
      <c r="AC21" s="95" cm="1">
        <f t="array" ref="AC21">INDEX(_xlfn._xlws.FILTER(CapacityTable[], (CapacityTable[Model] = $B$10) * (CapacityTable[T ext] = $D21) * (CapacityTable[T water out] = $AC$8) * (CapacityTable[Type] = $C$19),Tableau2[]),1,5)</f>
        <v>3.62143750772809</v>
      </c>
      <c r="AD21" s="96" cm="1">
        <f t="array" ref="AD21">INDEX(_xlfn._xlws.FILTER(CapacityTable[], (CapacityTable[Model] = $B$10) * (CapacityTable[T ext] = $D21) * (CapacityTable[T water out] = $AC$8) * (CapacityTable[Type] = $C$19),Tableau2[]),1,6)</f>
        <v>2.40789191167549</v>
      </c>
      <c r="AE21" s="179" cm="1">
        <f t="array" ref="AE21">INDEX(_xlfn._xlws.FILTER(CapacityTable[], (CapacityTable[Model] = $B$10) * (CapacityTable[T ext] = $D21) * (CapacityTable[T water out] = $AC$8) * (CapacityTable[Type] = $C$19),Tableau2[]),1,7)</f>
        <v>1.5039867405045499</v>
      </c>
    </row>
    <row r="22" spans="1:31" x14ac:dyDescent="0.25">
      <c r="A22" s="31"/>
      <c r="B22" s="277"/>
      <c r="C22" s="279"/>
      <c r="D22" s="37">
        <v>-7</v>
      </c>
      <c r="E22" s="170" cm="1">
        <f t="array" ref="E22">INDEX(_xlfn._xlws.FILTER(CapacityTable[], (CapacityTable[Model] = $B$10) * (CapacityTable[T ext] = $D22) * (CapacityTable[T water out] = $E$8) * (CapacityTable[Type] = $C$19),Tableau2[]),1,5)</f>
        <v>3.0825234136586301</v>
      </c>
      <c r="F22" s="96" cm="1">
        <f t="array" ref="F22">INDEX(_xlfn._xlws.FILTER(CapacityTable[], (CapacityTable[Model] = $B$10) * (CapacityTable[T ext] = $D22) * (CapacityTable[T water out] = $E$8) * (CapacityTable[Type] = $C$19),Tableau2[]),1,6)</f>
        <v>0.83141643807044352</v>
      </c>
      <c r="G22" s="171" cm="1">
        <f t="array" ref="G22">INDEX(_xlfn._xlws.FILTER(CapacityTable[], (CapacityTable[Model] = $B$10) * (CapacityTable[T ext] = $D22) * (CapacityTable[T water out] = $E$8) * (CapacityTable[Type] = $C$19),Tableau2[]),1,7)</f>
        <v>3.7075564933651899</v>
      </c>
      <c r="H22" s="172" cm="1">
        <f t="array" ref="H22">INDEX(_xlfn._xlws.FILTER(CapacityTable[], (CapacityTable[Model] = $B$10) * (CapacityTable[T ext] = $D22) * (CapacityTable[T water out] = $H$8) * (CapacityTable[Type] = $C$19),Tableau2[]),1,5)</f>
        <v>3.2318049951949201</v>
      </c>
      <c r="I22" s="96" cm="1">
        <f t="array" ref="I22">INDEX(_xlfn._xlws.FILTER(CapacityTable[], (CapacityTable[Model] = $B$10) * (CapacityTable[T ext] = $D22) * (CapacityTable[T water out] = $H$8) * (CapacityTable[Type] = $C$19),Tableau2[]),1,6)</f>
        <v>1.1094697570662189</v>
      </c>
      <c r="J22" s="87" cm="1">
        <f t="array" ref="J22">INDEX(_xlfn._xlws.FILTER(CapacityTable[], (CapacityTable[Model] = $B$10) * (CapacityTable[T ext] = $D22) * (CapacityTable[T water out] = $H$8) * (CapacityTable[Type] = $C$19),Tableau2[]),1,7)</f>
        <v>2.9129275265157402</v>
      </c>
      <c r="K22" s="95" cm="1">
        <f t="array" ref="K22">INDEX(_xlfn._xlws.FILTER(CapacityTable[], (CapacityTable[Model] = $B$10) * (CapacityTable[T ext] = $D22) * (CapacityTable[T water out] = $K$8) * (CapacityTable[Type] = $C$19),Tableau2[]),1,5)</f>
        <v>3.1711962984139999</v>
      </c>
      <c r="L22" s="96" cm="1">
        <f t="array" ref="L22">INDEX(_xlfn._xlws.FILTER(CapacityTable[], (CapacityTable[Model] = $B$10) * (CapacityTable[T ext] = $D22) * (CapacityTable[T water out] = $K$8) * (CapacityTable[Type] = $C$19),Tableau2[]),1,6)</f>
        <v>1.199049865288603</v>
      </c>
      <c r="M22" s="179" cm="1">
        <f t="array" ref="M22">INDEX(_xlfn._xlws.FILTER(CapacityTable[], (CapacityTable[Model] = $B$10) * (CapacityTable[T ext] = $D22) * (CapacityTable[T water out] = $K$8) * (CapacityTable[Type] = $C$19),Tableau2[]),1,7)</f>
        <v>2.6447576453800901</v>
      </c>
      <c r="N22" s="95" cm="1">
        <f t="array" ref="N22">INDEX(_xlfn._xlws.FILTER(CapacityTable[], (CapacityTable[Model] = $B$10) * (CapacityTable[T ext] = $D22) * (CapacityTable[T water out] = $N$8) * (CapacityTable[Type] = $C$19),Tableau2[]),1,5)</f>
        <v>3.1181837431699</v>
      </c>
      <c r="O22" s="96" cm="1">
        <f t="array" ref="O22">INDEX(_xlfn._xlws.FILTER(CapacityTable[], (CapacityTable[Model] = $B$10) * (CapacityTable[T ext] = $D22) * (CapacityTable[T water out] = $N$8) * (CapacityTable[Type] = $C$19),Tableau2[]),1,6)</f>
        <v>1.2899121308906469</v>
      </c>
      <c r="P22" s="179" cm="1">
        <f t="array" ref="P22">INDEX(_xlfn._xlws.FILTER(CapacityTable[], (CapacityTable[Model] = $B$10) * (CapacityTable[T ext] = $D22) * (CapacityTable[T water out] = $N$8) * (CapacityTable[Type] = $C$19),Tableau2[]),1,7)</f>
        <v>2.4173613601237198</v>
      </c>
      <c r="Q22" s="95" cm="1">
        <f t="array" ref="Q22">INDEX(_xlfn._xlws.FILTER(CapacityTable[], (CapacityTable[Model] = $B$10) * (CapacityTable[T ext] = $D22) * (CapacityTable[T water out] = $Q$8) * (CapacityTable[Type] = $C$19),Tableau2[]),1,5)</f>
        <v>3.6663604462642101</v>
      </c>
      <c r="R22" s="96" cm="1">
        <f t="array" ref="R22">INDEX(_xlfn._xlws.FILTER(CapacityTable[], (CapacityTable[Model] = $B$10) * (CapacityTable[T ext] = $D22) * (CapacityTable[T water out] = $Q$8) * (CapacityTable[Type] = $C$19),Tableau2[]),1,6)</f>
        <v>1.6360373481343626</v>
      </c>
      <c r="S22" s="179" cm="1">
        <f t="array" ref="S22">INDEX(_xlfn._xlws.FILTER(CapacityTable[], (CapacityTable[Model] = $B$10) * (CapacityTable[T ext] = $D22) * (CapacityTable[T water out] = $Q$8) * (CapacityTable[Type] = $C$19),Tableau2[]),1,7)</f>
        <v>2.2410004578716398</v>
      </c>
      <c r="T22" s="95" cm="1">
        <f t="array" ref="T22">INDEX(_xlfn._xlws.FILTER(CapacityTable[], (CapacityTable[Model] = $B$10) * (CapacityTable[T ext] = $D22) * (CapacityTable[T water out] = $T$8) * (CapacityTable[Type] = $C$19),Tableau2[]),1,5)</f>
        <v>3.6012093077799801</v>
      </c>
      <c r="U22" s="96" cm="1">
        <f t="array" ref="U22">INDEX(_xlfn._xlws.FILTER(CapacityTable[], (CapacityTable[Model] = $B$10) * (CapacityTable[T ext] = $D22) * (CapacityTable[T water out] = $T$8) * (CapacityTable[Type] = $C$19),Tableau2[]),1,6)</f>
        <v>1.7494131033649369</v>
      </c>
      <c r="V22" s="179" cm="1">
        <f t="array" ref="V22">INDEX(_xlfn._xlws.FILTER(CapacityTable[], (CapacityTable[Model] = $B$10) * (CapacityTable[T ext] = $D22) * (CapacityTable[T water out] = $T$8) * (CapacityTable[Type] = $C$19),Tableau2[]),1,7)</f>
        <v>2.05852425642244</v>
      </c>
      <c r="W22" s="95" cm="1">
        <f t="array" ref="W22">INDEX(_xlfn._xlws.FILTER(CapacityTable[], (CapacityTable[Model] = $B$10) * (CapacityTable[T ext] = $D22) * (CapacityTable[T water out] = $W$8) * (CapacityTable[Type] = $C$19),Tableau2[]),1,5)</f>
        <v>4.1193121531488197</v>
      </c>
      <c r="X22" s="96" cm="1">
        <f t="array" ref="X22">INDEX(_xlfn._xlws.FILTER(CapacityTable[], (CapacityTable[Model] = $B$10) * (CapacityTable[T ext] = $D22) * (CapacityTable[T water out] = $W$8) * (CapacityTable[Type] = $C$19),Tableau2[]),1,6)</f>
        <v>2.177482475287305</v>
      </c>
      <c r="Y22" s="179" cm="1">
        <f t="array" ref="Y22">INDEX(_xlfn._xlws.FILTER(CapacityTable[], (CapacityTable[Model] = $B$10) * (CapacityTable[T ext] = $D22) * (CapacityTable[T water out] = $W$8) * (CapacityTable[Type] = $C$19),Tableau2[]),1,7)</f>
        <v>1.8917774080387499</v>
      </c>
      <c r="Z22" s="95" cm="1">
        <f t="array" ref="Z22">INDEX(_xlfn._xlws.FILTER(CapacityTable[], (CapacityTable[Model] = $B$10) * (CapacityTable[T ext] = $D22) * (CapacityTable[T water out] = $Z$8) * (CapacityTable[Type] = $C$19),Tableau2[]),1,5)</f>
        <v>4.0362986626431798</v>
      </c>
      <c r="AA22" s="96" cm="1">
        <f t="array" ref="AA22">INDEX(_xlfn._xlws.FILTER(CapacityTable[], (CapacityTable[Model] = $B$10) * (CapacityTable[T ext] = $D22) * (CapacityTable[T water out] = $Z$8) * (CapacityTable[Type] = $C$19),Tableau2[]),1,6)</f>
        <v>2.3212522822354145</v>
      </c>
      <c r="AB22" s="179" cm="1">
        <f t="array" ref="AB22">INDEX(_xlfn._xlws.FILTER(CapacityTable[], (CapacityTable[Model] = $B$10) * (CapacityTable[T ext] = $D22) * (CapacityTable[T water out] = $Z$8) * (CapacityTable[Type] = $C$19),Tableau2[]),1,7)</f>
        <v>1.7388453179057901</v>
      </c>
      <c r="AC22" s="95" cm="1">
        <f t="array" ref="AC22">INDEX(_xlfn._xlws.FILTER(CapacityTable[], (CapacityTable[Model] = $B$10) * (CapacityTable[T ext] = $D22) * (CapacityTable[T water out] = $AC$8) * (CapacityTable[Type] = $C$19),Tableau2[]),1,5)</f>
        <v>3.9507170467332697</v>
      </c>
      <c r="AD22" s="96" cm="1">
        <f t="array" ref="AD22">INDEX(_xlfn._xlws.FILTER(CapacityTable[], (CapacityTable[Model] = $B$10) * (CapacityTable[T ext] = $D22) * (CapacityTable[T water out] = $AC$8) * (CapacityTable[Type] = $C$19),Tableau2[]),1,6)</f>
        <v>2.4765175889606548</v>
      </c>
      <c r="AE22" s="179" cm="1">
        <f t="array" ref="AE22">INDEX(_xlfn._xlws.FILTER(CapacityTable[], (CapacityTable[Model] = $B$10) * (CapacityTable[T ext] = $D22) * (CapacityTable[T water out] = $AC$8) * (CapacityTable[Type] = $C$19),Tableau2[]),1,7)</f>
        <v>1.59527114378029</v>
      </c>
    </row>
    <row r="23" spans="1:31" x14ac:dyDescent="0.25">
      <c r="A23" s="31"/>
      <c r="B23" s="277"/>
      <c r="C23" s="279"/>
      <c r="D23" s="37">
        <v>2</v>
      </c>
      <c r="E23" s="170" cm="1">
        <f t="array" ref="E23">INDEX(_xlfn._xlws.FILTER(CapacityTable[], (CapacityTable[Model] = $B$10) * (CapacityTable[T ext] = $D23) * (CapacityTable[T water out] = $E$8) * (CapacityTable[Type] = $C$19),Tableau2[]),1,5)</f>
        <v>4.1204163228132602</v>
      </c>
      <c r="F23" s="96" cm="1">
        <f t="array" ref="F23">INDEX(_xlfn._xlws.FILTER(CapacityTable[], (CapacityTable[Model] = $B$10) * (CapacityTable[T ext] = $D23) * (CapacityTable[T water out] = $E$8) * (CapacityTable[Type] = $C$19),Tableau2[]),1,6)</f>
        <v>0.84209657699684903</v>
      </c>
      <c r="G23" s="171" cm="1">
        <f t="array" ref="G23">INDEX(_xlfn._xlws.FILTER(CapacityTable[], (CapacityTable[Model] = $B$10) * (CapacityTable[T ext] = $D23) * (CapacityTable[T water out] = $E$8) * (CapacityTable[Type] = $C$19),Tableau2[]),1,7)</f>
        <v>4.8930448541992799</v>
      </c>
      <c r="H23" s="172" cm="1">
        <f t="array" ref="H23">INDEX(_xlfn._xlws.FILTER(CapacityTable[], (CapacityTable[Model] = $B$10) * (CapacityTable[T ext] = $D23) * (CapacityTable[T water out] = $H$8) * (CapacityTable[Type] = $C$19),Tableau2[]),1,5)</f>
        <v>3.8962378738577801</v>
      </c>
      <c r="I23" s="96" cm="1">
        <f t="array" ref="I23">INDEX(_xlfn._xlws.FILTER(CapacityTable[], (CapacityTable[Model] = $B$10) * (CapacityTable[T ext] = $D23) * (CapacityTable[T water out] = $H$8) * (CapacityTable[Type] = $C$19),Tableau2[]),1,6)</f>
        <v>1.0360399607159625</v>
      </c>
      <c r="J23" s="88" cm="1">
        <f t="array" ref="J23">INDEX(_xlfn._xlws.FILTER(CapacityTable[], (CapacityTable[Model] = $B$10) * (CapacityTable[T ext] = $D23) * (CapacityTable[T water out] = $H$8) * (CapacityTable[Type] = $C$19),Tableau2[]),1,7)</f>
        <v>3.7607023103290902</v>
      </c>
      <c r="K23" s="95" cm="1">
        <f t="array" ref="K23">INDEX(_xlfn._xlws.FILTER(CapacityTable[], (CapacityTable[Model] = $B$10) * (CapacityTable[T ext] = $D23) * (CapacityTable[T water out] = $K$8) * (CapacityTable[Type] = $C$19),Tableau2[]),1,5)</f>
        <v>3.8129198346197701</v>
      </c>
      <c r="L23" s="96" cm="1">
        <f t="array" ref="L23">INDEX(_xlfn._xlws.FILTER(CapacityTable[], (CapacityTable[Model] = $B$10) * (CapacityTable[T ext] = $D23) * (CapacityTable[T water out] = $K$8) * (CapacityTable[Type] = $C$19),Tableau2[]),1,6)</f>
        <v>1.1303529474092744</v>
      </c>
      <c r="M23" s="179" cm="1">
        <f t="array" ref="M23">INDEX(_xlfn._xlws.FILTER(CapacityTable[], (CapacityTable[Model] = $B$10) * (CapacityTable[T ext] = $D23) * (CapacityTable[T water out] = $K$8) * (CapacityTable[Type] = $C$19),Tableau2[]),1,7)</f>
        <v>3.37321174183589</v>
      </c>
      <c r="N23" s="95" cm="1">
        <f t="array" ref="N23">INDEX(_xlfn._xlws.FILTER(CapacityTable[], (CapacityTable[Model] = $B$10) * (CapacityTable[T ext] = $D23) * (CapacityTable[T water out] = $N$8) * (CapacityTable[Type] = $C$19),Tableau2[]),1,5)</f>
        <v>3.7375202144012603</v>
      </c>
      <c r="O23" s="96" cm="1">
        <f t="array" ref="O23">INDEX(_xlfn._xlws.FILTER(CapacityTable[], (CapacityTable[Model] = $B$10) * (CapacityTable[T ext] = $D23) * (CapacityTable[T water out] = $N$8) * (CapacityTable[Type] = $C$19),Tableau2[]),1,6)</f>
        <v>1.2262370075777669</v>
      </c>
      <c r="P23" s="179" cm="1">
        <f t="array" ref="P23">INDEX(_xlfn._xlws.FILTER(CapacityTable[], (CapacityTable[Model] = $B$10) * (CapacityTable[T ext] = $D23) * (CapacityTable[T water out] = $N$8) * (CapacityTable[Type] = $C$19),Tableau2[]),1,7)</f>
        <v>3.04795907422834</v>
      </c>
      <c r="Q23" s="95" cm="1">
        <f t="array" ref="Q23">INDEX(_xlfn._xlws.FILTER(CapacityTable[], (CapacityTable[Model] = $B$10) * (CapacityTable[T ext] = $D23) * (CapacityTable[T water out] = $Q$8) * (CapacityTable[Type] = $C$19),Tableau2[]),1,5)</f>
        <v>4.0596209887875103</v>
      </c>
      <c r="R23" s="96" cm="1">
        <f t="array" ref="R23">INDEX(_xlfn._xlws.FILTER(CapacityTable[], (CapacityTable[Model] = $B$10) * (CapacityTable[T ext] = $D23) * (CapacityTable[T water out] = $Q$8) * (CapacityTable[Type] = $C$19),Tableau2[]),1,6)</f>
        <v>1.4451649212809343</v>
      </c>
      <c r="S23" s="179" cm="1">
        <f t="array" ref="S23">INDEX(_xlfn._xlws.FILTER(CapacityTable[], (CapacityTable[Model] = $B$10) * (CapacityTable[T ext] = $D23) * (CapacityTable[T water out] = $Q$8) * (CapacityTable[Type] = $C$19),Tableau2[]),1,7)</f>
        <v>2.8091056799173</v>
      </c>
      <c r="T23" s="95" cm="1">
        <f t="array" ref="T23">INDEX(_xlfn._xlws.FILTER(CapacityTable[], (CapacityTable[Model] = $B$10) * (CapacityTable[T ext] = $D23) * (CapacityTable[T water out] = $T$8) * (CapacityTable[Type] = $C$19),Tableau2[]),1,5)</f>
        <v>3.9732273691731299</v>
      </c>
      <c r="U23" s="96" cm="1">
        <f t="array" ref="U23">INDEX(_xlfn._xlws.FILTER(CapacityTable[], (CapacityTable[Model] = $B$10) * (CapacityTable[T ext] = $D23) * (CapacityTable[T water out] = $T$8) * (CapacityTable[Type] = $C$19),Tableau2[]),1,6)</f>
        <v>1.5574307893011619</v>
      </c>
      <c r="V23" s="179" cm="1">
        <f t="array" ref="V23">INDEX(_xlfn._xlws.FILTER(CapacityTable[], (CapacityTable[Model] = $B$10) * (CapacityTable[T ext] = $D23) * (CapacityTable[T water out] = $T$8) * (CapacityTable[Type] = $C$19),Tableau2[]),1,7)</f>
        <v>2.5511421736794899</v>
      </c>
      <c r="W23" s="95" cm="1">
        <f t="array" ref="W23">INDEX(_xlfn._xlws.FILTER(CapacityTable[], (CapacityTable[Model] = $B$10) * (CapacityTable[T ext] = $D23) * (CapacityTable[T water out] = $W$8) * (CapacityTable[Type] = $C$19),Tableau2[]),1,5)</f>
        <v>4.6083975229910106</v>
      </c>
      <c r="X23" s="96" cm="1">
        <f t="array" ref="X23">INDEX(_xlfn._xlws.FILTER(CapacityTable[], (CapacityTable[Model] = $B$10) * (CapacityTable[T ext] = $D23) * (CapacityTable[T water out] = $W$8) * (CapacityTable[Type] = $C$19),Tableau2[]),1,6)</f>
        <v>1.9866836279959406</v>
      </c>
      <c r="Y23" s="179" cm="1">
        <f t="array" ref="Y23">INDEX(_xlfn._xlws.FILTER(CapacityTable[], (CapacityTable[Model] = $B$10) * (CapacityTable[T ext] = $D23) * (CapacityTable[T water out] = $W$8) * (CapacityTable[Type] = $C$19),Tableau2[]),1,7)</f>
        <v>2.3196433785683901</v>
      </c>
      <c r="Z23" s="95" cm="1">
        <f t="array" ref="Z23">INDEX(_xlfn._xlws.FILTER(CapacityTable[], (CapacityTable[Model] = $B$10) * (CapacityTable[T ext] = $D23) * (CapacityTable[T water out] = $Z$8) * (CapacityTable[Type] = $C$19),Tableau2[]),1,5)</f>
        <v>4.8497041772793796</v>
      </c>
      <c r="AA23" s="96" cm="1">
        <f t="array" ref="AA23">INDEX(_xlfn._xlws.FILTER(CapacityTable[], (CapacityTable[Model] = $B$10) * (CapacityTable[T ext] = $D23) * (CapacityTable[T water out] = $Z$8) * (CapacityTable[Type] = $C$19),Tableau2[]),1,6)</f>
        <v>2.3035595815847016</v>
      </c>
      <c r="AB23" s="179" cm="1">
        <f t="array" ref="AB23">INDEX(_xlfn._xlws.FILTER(CapacityTable[], (CapacityTable[Model] = $B$10) * (CapacityTable[T ext] = $D23) * (CapacityTable[T water out] = $Z$8) * (CapacityTable[Type] = $C$19),Tableau2[]),1,7)</f>
        <v>2.1053087647696498</v>
      </c>
      <c r="AC23" s="95" cm="1">
        <f t="array" ref="AC23">INDEX(_xlfn._xlws.FILTER(CapacityTable[], (CapacityTable[Model] = $B$10) * (CapacityTable[T ext] = $D23) * (CapacityTable[T water out] = $AC$8) * (CapacityTable[Type] = $C$19),Tableau2[]),1,5)</f>
        <v>4.7180092993324294</v>
      </c>
      <c r="AD23" s="96" cm="1">
        <f t="array" ref="AD23">INDEX(_xlfn._xlws.FILTER(CapacityTable[], (CapacityTable[Model] = $B$10) * (CapacityTable[T ext] = $D23) * (CapacityTable[T water out] = $AC$8) * (CapacityTable[Type] = $C$19),Tableau2[]),1,6)</f>
        <v>2.4701614952199851</v>
      </c>
      <c r="AE23" s="179" cm="1">
        <f t="array" ref="AE23">INDEX(_xlfn._xlws.FILTER(CapacityTable[], (CapacityTable[Model] = $B$10) * (CapacityTable[T ext] = $D23) * (CapacityTable[T water out] = $AC$8) * (CapacityTable[Type] = $C$19),Tableau2[]),1,7)</f>
        <v>1.9100003414603699</v>
      </c>
    </row>
    <row r="24" spans="1:31" x14ac:dyDescent="0.25">
      <c r="A24" s="31"/>
      <c r="B24" s="277"/>
      <c r="C24" s="279"/>
      <c r="D24" s="37">
        <v>7</v>
      </c>
      <c r="E24" s="170" cm="1">
        <f t="array" ref="E24">INDEX(_xlfn._xlws.FILTER(CapacityTable[], (CapacityTable[Model] = $B$10) * (CapacityTable[T ext] = $D24) * (CapacityTable[T water out] = $E$8) * (CapacityTable[Type] = $C$19),Tableau2[]),1,5)</f>
        <v>3.7742123982772302</v>
      </c>
      <c r="F24" s="96" cm="1">
        <f t="array" ref="F24">INDEX(_xlfn._xlws.FILTER(CapacityTable[], (CapacityTable[Model] = $B$10) * (CapacityTable[T ext] = $D24) * (CapacityTable[T water out] = $E$8) * (CapacityTable[Type] = $C$19),Tableau2[]),1,6)</f>
        <v>0.62751894852440859</v>
      </c>
      <c r="G24" s="171" cm="1">
        <f t="array" ref="G24">INDEX(_xlfn._xlws.FILTER(CapacityTable[], (CapacityTable[Model] = $B$10) * (CapacityTable[T ext] = $D24) * (CapacityTable[T water out] = $E$8) * (CapacityTable[Type] = $C$19),Tableau2[]),1,7)</f>
        <v>6.0144994938434504</v>
      </c>
      <c r="H24" s="172" cm="1">
        <f t="array" ref="H24">INDEX(_xlfn._xlws.FILTER(CapacityTable[], (CapacityTable[Model] = $B$10) * (CapacityTable[T ext] = $D24) * (CapacityTable[T water out] = $H$8) * (CapacityTable[Type] = $C$19),Tableau2[]),1,5)</f>
        <v>4.0479888043663399</v>
      </c>
      <c r="I24" s="96" cm="1">
        <f t="array" ref="I24">INDEX(_xlfn._xlws.FILTER(CapacityTable[], (CapacityTable[Model] = $B$10) * (CapacityTable[T ext] = $D24) * (CapacityTable[T water out] = $H$8) * (CapacityTable[Type] = $C$19),Tableau2[]),1,6)</f>
        <v>0.90585487564151257</v>
      </c>
      <c r="J24" s="88" cm="1">
        <f t="array" ref="J24">INDEX(_xlfn._xlws.FILTER(CapacityTable[], (CapacityTable[Model] = $B$10) * (CapacityTable[T ext] = $D24) * (CapacityTable[T water out] = $H$8) * (CapacityTable[Type] = $C$19),Tableau2[]),1,7)</f>
        <v>4.4686946145756696</v>
      </c>
      <c r="K24" s="95" cm="1">
        <f t="array" ref="K24">INDEX(_xlfn._xlws.FILTER(CapacityTable[], (CapacityTable[Model] = $B$10) * (CapacityTable[T ext] = $D24) * (CapacityTable[T water out] = $K$8) * (CapacityTable[Type] = $C$19),Tableau2[]),1,5)</f>
        <v>3.9573078280168601</v>
      </c>
      <c r="L24" s="96" cm="1">
        <f t="array" ref="L24">INDEX(_xlfn._xlws.FILTER(CapacityTable[], (CapacityTable[Model] = $B$10) * (CapacityTable[T ext] = $D24) * (CapacityTable[T water out] = $K$8) * (CapacityTable[Type] = $C$19),Tableau2[]),1,6)</f>
        <v>0.99740502293516109</v>
      </c>
      <c r="M24" s="179" cm="1">
        <f t="array" ref="M24">INDEX(_xlfn._xlws.FILTER(CapacityTable[], (CapacityTable[Model] = $B$10) * (CapacityTable[T ext] = $D24) * (CapacityTable[T water out] = $K$8) * (CapacityTable[Type] = $C$19),Tableau2[]),1,7)</f>
        <v>3.9676036685390899</v>
      </c>
      <c r="N24" s="95" cm="1">
        <f t="array" ref="N24">INDEX(_xlfn._xlws.FILTER(CapacityTable[], (CapacityTable[Model] = $B$10) * (CapacityTable[T ext] = $D24) * (CapacityTable[T water out] = $N$8) * (CapacityTable[Type] = $C$19),Tableau2[]),1,5)</f>
        <v>3.8746549713082299</v>
      </c>
      <c r="O24" s="96" cm="1">
        <f t="array" ref="O24">INDEX(_xlfn._xlws.FILTER(CapacityTable[], (CapacityTable[Model] = $B$10) * (CapacityTable[T ext] = $D24) * (CapacityTable[T water out] = $N$8) * (CapacityTable[Type] = $C$19),Tableau2[]),1,6)</f>
        <v>1.0907444874690571</v>
      </c>
      <c r="P24" s="179" cm="1">
        <f t="array" ref="P24">INDEX(_xlfn._xlws.FILTER(CapacityTable[], (CapacityTable[Model] = $B$10) * (CapacityTable[T ext] = $D24) * (CapacityTable[T water out] = $N$8) * (CapacityTable[Type] = $C$19),Tableau2[]),1,7)</f>
        <v>3.5523030515596798</v>
      </c>
      <c r="Q24" s="95" cm="1">
        <f t="array" ref="Q24">INDEX(_xlfn._xlws.FILTER(CapacityTable[], (CapacityTable[Model] = $B$10) * (CapacityTable[T ext] = $D24) * (CapacityTable[T water out] = $Q$8) * (CapacityTable[Type] = $C$19),Tableau2[]),1,5)</f>
        <v>4.2452148484078096</v>
      </c>
      <c r="R24" s="96" cm="1">
        <f t="array" ref="R24">INDEX(_xlfn._xlws.FILTER(CapacityTable[], (CapacityTable[Model] = $B$10) * (CapacityTable[T ext] = $D24) * (CapacityTable[T water out] = $Q$8) * (CapacityTable[Type] = $C$19),Tableau2[]),1,6)</f>
        <v>1.306649397709549</v>
      </c>
      <c r="S24" s="179" cm="1">
        <f t="array" ref="S24">INDEX(_xlfn._xlws.FILTER(CapacityTable[], (CapacityTable[Model] = $B$10) * (CapacityTable[T ext] = $D24) * (CapacityTable[T water out] = $Q$8) * (CapacityTable[Type] = $C$19),Tableau2[]),1,7)</f>
        <v>3.2489318526066202</v>
      </c>
      <c r="T24" s="95" cm="1">
        <f t="array" ref="T24">INDEX(_xlfn._xlws.FILTER(CapacityTable[], (CapacityTable[Model] = $B$10) * (CapacityTable[T ext] = $D24) * (CapacityTable[T water out] = $T$8) * (CapacityTable[Type] = $C$19),Tableau2[]),1,5)</f>
        <v>4.1476688986213803</v>
      </c>
      <c r="U24" s="96" cm="1">
        <f t="array" ref="U24">INDEX(_xlfn._xlws.FILTER(CapacityTable[], (CapacityTable[Model] = $B$10) * (CapacityTable[T ext] = $D24) * (CapacityTable[T water out] = $T$8) * (CapacityTable[Type] = $C$19),Tableau2[]),1,6)</f>
        <v>1.417454456091088</v>
      </c>
      <c r="V24" s="179" cm="1">
        <f t="array" ref="V24">INDEX(_xlfn._xlws.FILTER(CapacityTable[], (CapacityTable[Model] = $B$10) * (CapacityTable[T ext] = $D24) * (CapacityTable[T water out] = $T$8) * (CapacityTable[Type] = $C$19),Tableau2[]),1,7)</f>
        <v>2.9261390944859</v>
      </c>
      <c r="W24" s="95" cm="1">
        <f t="array" ref="W24">INDEX(_xlfn._xlws.FILTER(CapacityTable[], (CapacityTable[Model] = $B$10) * (CapacityTable[T ext] = $D24) * (CapacityTable[T water out] = $W$8) * (CapacityTable[Type] = $C$19),Tableau2[]),1,5)</f>
        <v>4.4626402938727701</v>
      </c>
      <c r="X24" s="96" cm="1">
        <f t="array" ref="X24">INDEX(_xlfn._xlws.FILTER(CapacityTable[], (CapacityTable[Model] = $B$10) * (CapacityTable[T ext] = $D24) * (CapacityTable[T water out] = $W$8) * (CapacityTable[Type] = $C$19),Tableau2[]),1,6)</f>
        <v>1.6905370563144151</v>
      </c>
      <c r="Y24" s="179" cm="1">
        <f t="array" ref="Y24">INDEX(_xlfn._xlws.FILTER(CapacityTable[], (CapacityTable[Model] = $B$10) * (CapacityTable[T ext] = $D24) * (CapacityTable[T water out] = $W$8) * (CapacityTable[Type] = $C$19),Tableau2[]),1,7)</f>
        <v>2.6397766775972902</v>
      </c>
      <c r="Z24" s="95" cm="1">
        <f t="array" ref="Z24">INDEX(_xlfn._xlws.FILTER(CapacityTable[], (CapacityTable[Model] = $B$10) * (CapacityTable[T ext] = $D24) * (CapacityTable[T water out] = $Z$8) * (CapacityTable[Type] = $C$19),Tableau2[]),1,5)</f>
        <v>4.7435405533739807</v>
      </c>
      <c r="AA24" s="96" cm="1">
        <f t="array" ref="AA24">INDEX(_xlfn._xlws.FILTER(CapacityTable[], (CapacityTable[Model] = $B$10) * (CapacityTable[T ext] = $D24) * (CapacityTable[T water out] = $Z$8) * (CapacityTable[Type] = $C$19),Tableau2[]),1,6)</f>
        <v>1.9990639650852389</v>
      </c>
      <c r="AB24" s="179" cm="1">
        <f t="array" ref="AB24">INDEX(_xlfn._xlws.FILTER(CapacityTable[], (CapacityTable[Model] = $B$10) * (CapacityTable[T ext] = $D24) * (CapacityTable[T water out] = $Z$8) * (CapacityTable[Type] = $C$19),Tableau2[]),1,7)</f>
        <v>2.3728808263380001</v>
      </c>
      <c r="AC24" s="95" cm="1">
        <f t="array" ref="AC24">INDEX(_xlfn._xlws.FILTER(CapacityTable[], (CapacityTable[Model] = $B$10) * (CapacityTable[T ext] = $D24) * (CapacityTable[T water out] = $AC$8) * (CapacityTable[Type] = $C$19),Tableau2[]),1,5)</f>
        <v>4.9891452623661294</v>
      </c>
      <c r="AD24" s="96" cm="1">
        <f t="array" ref="AD24">INDEX(_xlfn._xlws.FILTER(CapacityTable[], (CapacityTable[Model] = $B$10) * (CapacityTable[T ext] = $D24) * (CapacityTable[T water out] = $AC$8) * (CapacityTable[Type] = $C$19),Tableau2[]),1,6)</f>
        <v>2.3387749639975515</v>
      </c>
      <c r="AE24" s="179" cm="1">
        <f t="array" ref="AE24">INDEX(_xlfn._xlws.FILTER(CapacityTable[], (CapacityTable[Model] = $B$10) * (CapacityTable[T ext] = $D24) * (CapacityTable[T water out] = $AC$8) * (CapacityTable[Type] = $C$19),Tableau2[]),1,7)</f>
        <v>2.13323014790548</v>
      </c>
    </row>
    <row r="25" spans="1:31" x14ac:dyDescent="0.25">
      <c r="A25" s="31"/>
      <c r="B25" s="277"/>
      <c r="C25" s="279"/>
      <c r="D25" s="37">
        <v>12</v>
      </c>
      <c r="E25" s="170" cm="1">
        <f t="array" ref="E25">INDEX(_xlfn._xlws.FILTER(CapacityTable[], (CapacityTable[Model] = $B$10) * (CapacityTable[T ext] = $D25) * (CapacityTable[T water out] = $E$8) * (CapacityTable[Type] = $C$19),Tableau2[]),1,5)</f>
        <v>3.4308330092399002</v>
      </c>
      <c r="F25" s="96" cm="1">
        <f t="array" ref="F25">INDEX(_xlfn._xlws.FILTER(CapacityTable[], (CapacityTable[Model] = $B$10) * (CapacityTable[T ext] = $D25) * (CapacityTable[T water out] = $E$8) * (CapacityTable[Type] = $C$19),Tableau2[]),1,6)</f>
        <v>0.45249286530280536</v>
      </c>
      <c r="G25" s="171" cm="1">
        <f t="array" ref="G25">INDEX(_xlfn._xlws.FILTER(CapacityTable[], (CapacityTable[Model] = $B$10) * (CapacityTable[T ext] = $D25) * (CapacityTable[T water out] = $E$8) * (CapacityTable[Type] = $C$19),Tableau2[]),1,7)</f>
        <v>7.5820709503209702</v>
      </c>
      <c r="H25" s="172" cm="1">
        <f t="array" ref="H25">INDEX(_xlfn._xlws.FILTER(CapacityTable[], (CapacityTable[Model] = $B$10) * (CapacityTable[T ext] = $D25) * (CapacityTable[T water out] = $H$8) * (CapacityTable[Type] = $C$19),Tableau2[]),1,5)</f>
        <v>4.1216787749361998</v>
      </c>
      <c r="I25" s="96" cm="1">
        <f t="array" ref="I25">INDEX(_xlfn._xlws.FILTER(CapacityTable[], (CapacityTable[Model] = $B$10) * (CapacityTable[T ext] = $D25) * (CapacityTable[T water out] = $H$8) * (CapacityTable[Type] = $C$19),Tableau2[]),1,6)</f>
        <v>0.76439148696080783</v>
      </c>
      <c r="J25" s="88" cm="1">
        <f t="array" ref="J25">INDEX(_xlfn._xlws.FILTER(CapacityTable[], (CapacityTable[Model] = $B$10) * (CapacityTable[T ext] = $D25) * (CapacityTable[T water out] = $H$8) * (CapacityTable[Type] = $C$19),Tableau2[]),1,7)</f>
        <v>5.3921044978193597</v>
      </c>
      <c r="K25" s="95" cm="1">
        <f t="array" ref="K25">INDEX(_xlfn._xlws.FILTER(CapacityTable[], (CapacityTable[Model] = $B$10) * (CapacityTable[T ext] = $D25) * (CapacityTable[T water out] = $K$8) * (CapacityTable[Type] = $C$19),Tableau2[]),1,5)</f>
        <v>4.0243816425632595</v>
      </c>
      <c r="L25" s="96" cm="1">
        <f t="array" ref="L25">INDEX(_xlfn._xlws.FILTER(CapacityTable[], (CapacityTable[Model] = $B$10) * (CapacityTable[T ext] = $D25) * (CapacityTable[T water out] = $K$8) * (CapacityTable[Type] = $C$19),Tableau2[]),1,6)</f>
        <v>0.85191095684750728</v>
      </c>
      <c r="M25" s="179" cm="1">
        <f t="array" ref="M25">INDEX(_xlfn._xlws.FILTER(CapacityTable[], (CapacityTable[Model] = $B$10) * (CapacityTable[T ext] = $D25) * (CapacityTable[T water out] = $K$8) * (CapacityTable[Type] = $C$19),Tableau2[]),1,7)</f>
        <v>4.7239463352548796</v>
      </c>
      <c r="N25" s="95" cm="1">
        <f t="array" ref="N25">INDEX(_xlfn._xlws.FILTER(CapacityTable[], (CapacityTable[Model] = $B$10) * (CapacityTable[T ext] = $D25) * (CapacityTable[T water out] = $N$8) * (CapacityTable[Type] = $C$19),Tableau2[]),1,5)</f>
        <v>3.9353816930842997</v>
      </c>
      <c r="O25" s="96" cm="1">
        <f t="array" ref="O25">INDEX(_xlfn._xlws.FILTER(CapacityTable[], (CapacityTable[Model] = $B$10) * (CapacityTable[T ext] = $D25) * (CapacityTable[T water out] = $N$8) * (CapacityTable[Type] = $C$19),Tableau2[]),1,6)</f>
        <v>0.94127155923293004</v>
      </c>
      <c r="P25" s="179" cm="1">
        <f t="array" ref="P25">INDEX(_xlfn._xlws.FILTER(CapacityTable[], (CapacityTable[Model] = $B$10) * (CapacityTable[T ext] = $D25) * (CapacityTable[T water out] = $N$8) * (CapacityTable[Type] = $C$19),Tableau2[]),1,7)</f>
        <v>4.1809206434446597</v>
      </c>
      <c r="Q25" s="95" cm="1">
        <f t="array" ref="Q25">INDEX(_xlfn._xlws.FILTER(CapacityTable[], (CapacityTable[Model] = $B$10) * (CapacityTable[T ext] = $D25) * (CapacityTable[T water out] = $Q$8) * (CapacityTable[Type] = $C$19),Tableau2[]),1,5)</f>
        <v>4.3697537626957903</v>
      </c>
      <c r="R25" s="96" cm="1">
        <f t="array" ref="R25">INDEX(_xlfn._xlws.FILTER(CapacityTable[], (CapacityTable[Model] = $B$10) * (CapacityTable[T ext] = $D25) * (CapacityTable[T water out] = $Q$8) * (CapacityTable[Type] = $C$19),Tableau2[]),1,6)</f>
        <v>1.1546379518537591</v>
      </c>
      <c r="S25" s="179" cm="1">
        <f t="array" ref="S25">INDEX(_xlfn._xlws.FILTER(CapacityTable[], (CapacityTable[Model] = $B$10) * (CapacityTable[T ext] = $D25) * (CapacityTable[T water out] = $Q$8) * (CapacityTable[Type] = $C$19),Tableau2[]),1,7)</f>
        <v>3.78452289367433</v>
      </c>
      <c r="T25" s="95" cm="1">
        <f t="array" ref="T25">INDEX(_xlfn._xlws.FILTER(CapacityTable[], (CapacityTable[Model] = $B$10) * (CapacityTable[T ext] = $D25) * (CapacityTable[T water out] = $T$8) * (CapacityTable[Type] = $C$19),Tableau2[]),1,5)</f>
        <v>4.26232836001099</v>
      </c>
      <c r="U25" s="96" cm="1">
        <f t="array" ref="U25">INDEX(_xlfn._xlws.FILTER(CapacityTable[], (CapacityTable[Model] = $B$10) * (CapacityTable[T ext] = $D25) * (CapacityTable[T water out] = $T$8) * (CapacityTable[Type] = $C$19),Tableau2[]),1,6)</f>
        <v>1.2625468176350572</v>
      </c>
      <c r="V25" s="179" cm="1">
        <f t="array" ref="V25">INDEX(_xlfn._xlws.FILTER(CapacityTable[], (CapacityTable[Model] = $B$10) * (CapacityTable[T ext] = $D25) * (CapacityTable[T water out] = $T$8) * (CapacityTable[Type] = $C$19),Tableau2[]),1,7)</f>
        <v>3.3759764790306801</v>
      </c>
      <c r="W25" s="95" cm="1">
        <f t="array" ref="W25">INDEX(_xlfn._xlws.FILTER(CapacityTable[], (CapacityTable[Model] = $B$10) * (CapacityTable[T ext] = $D25) * (CapacityTable[T water out] = $W$8) * (CapacityTable[Type] = $C$19),Tableau2[]),1,5)</f>
        <v>4.6259550900377295</v>
      </c>
      <c r="X25" s="96" cm="1">
        <f t="array" ref="X25">INDEX(_xlfn._xlws.FILTER(CapacityTable[], (CapacityTable[Model] = $B$10) * (CapacityTable[T ext] = $D25) * (CapacityTable[T water out] = $W$8) * (CapacityTable[Type] = $C$19),Tableau2[]),1,6)</f>
        <v>1.5260646758276795</v>
      </c>
      <c r="Y25" s="179" cm="1">
        <f t="array" ref="Y25">INDEX(_xlfn._xlws.FILTER(CapacityTable[], (CapacityTable[Model] = $B$10) * (CapacityTable[T ext] = $D25) * (CapacityTable[T water out] = $W$8) * (CapacityTable[Type] = $C$19),Tableau2[]),1,7)</f>
        <v>3.03129687968748</v>
      </c>
      <c r="Z25" s="95" cm="1">
        <f t="array" ref="Z25">INDEX(_xlfn._xlws.FILTER(CapacityTable[], (CapacityTable[Model] = $B$10) * (CapacityTable[T ext] = $D25) * (CapacityTable[T water out] = $Z$8) * (CapacityTable[Type] = $C$19),Tableau2[]),1,5)</f>
        <v>4.94682413683985</v>
      </c>
      <c r="AA25" s="96" cm="1">
        <f t="array" ref="AA25">INDEX(_xlfn._xlws.FILTER(CapacityTable[], (CapacityTable[Model] = $B$10) * (CapacityTable[T ext] = $D25) * (CapacityTable[T water out] = $Z$8) * (CapacityTable[Type] = $C$19),Tableau2[]),1,6)</f>
        <v>1.8306026490070857</v>
      </c>
      <c r="AB25" s="179" cm="1">
        <f t="array" ref="AB25">INDEX(_xlfn._xlws.FILTER(CapacityTable[], (CapacityTable[Model] = $B$10) * (CapacityTable[T ext] = $D25) * (CapacityTable[T water out] = $Z$8) * (CapacityTable[Type] = $C$19),Tableau2[]),1,7)</f>
        <v>2.7022926791474902</v>
      </c>
      <c r="AC25" s="95" cm="1">
        <f t="array" ref="AC25">INDEX(_xlfn._xlws.FILTER(CapacityTable[], (CapacityTable[Model] = $B$10) * (CapacityTable[T ext] = $D25) * (CapacityTable[T water out] = $AC$8) * (CapacityTable[Type] = $C$19),Tableau2[]),1,5)</f>
        <v>4.7848584379633605</v>
      </c>
      <c r="AD25" s="96" cm="1">
        <f t="array" ref="AD25">INDEX(_xlfn._xlws.FILTER(CapacityTable[], (CapacityTable[Model] = $B$10) * (CapacityTable[T ext] = $D25) * (CapacityTable[T water out] = $AC$8) * (CapacityTable[Type] = $C$19),Tableau2[]),1,6)</f>
        <v>1.9874710301431107</v>
      </c>
      <c r="AE25" s="179" cm="1">
        <f t="array" ref="AE25">INDEX(_xlfn._xlws.FILTER(CapacityTable[], (CapacityTable[Model] = $B$10) * (CapacityTable[T ext] = $D25) * (CapacityTable[T water out] = $AC$8) * (CapacityTable[Type] = $C$19),Tableau2[]),1,7)</f>
        <v>2.4075110355791298</v>
      </c>
    </row>
    <row r="26" spans="1:31" x14ac:dyDescent="0.25">
      <c r="A26" s="31"/>
      <c r="B26" s="277"/>
      <c r="C26" s="280"/>
      <c r="D26" s="38">
        <v>15</v>
      </c>
      <c r="E26" s="173" cm="1">
        <f t="array" ref="E26">INDEX(_xlfn._xlws.FILTER(CapacityTable[], (CapacityTable[Model] = $B$10) * (CapacityTable[T ext] = $D26) * (CapacityTable[T water out] = $E$8) * (CapacityTable[Type] = $C$19),Tableau2[]),1,5)</f>
        <v>2.8450895068306599</v>
      </c>
      <c r="F26" s="97" cm="1">
        <f t="array" ref="F26">INDEX(_xlfn._xlws.FILTER(CapacityTable[], (CapacityTable[Model] = $B$10) * (CapacityTable[T ext] = $D26) * (CapacityTable[T water out] = $E$8) * (CapacityTable[Type] = $C$19),Tableau2[]),1,6)</f>
        <v>0.32865124791792488</v>
      </c>
      <c r="G26" s="174" cm="1">
        <f t="array" ref="G26">INDEX(_xlfn._xlws.FILTER(CapacityTable[], (CapacityTable[Model] = $B$10) * (CapacityTable[T ext] = $D26) * (CapacityTable[T water out] = $E$8) * (CapacityTable[Type] = $C$19),Tableau2[]),1,7)</f>
        <v>8.6568650654908605</v>
      </c>
      <c r="H26" s="175" cm="1">
        <f t="array" ref="H26">INDEX(_xlfn._xlws.FILTER(CapacityTable[], (CapacityTable[Model] = $B$10) * (CapacityTable[T ext] = $D26) * (CapacityTable[T water out] = $H$8) * (CapacityTable[Type] = $C$19),Tableau2[]),1,5)</f>
        <v>3.9091148051452302</v>
      </c>
      <c r="I26" s="97" cm="1">
        <f t="array" ref="I26">INDEX(_xlfn._xlws.FILTER(CapacityTable[], (CapacityTable[Model] = $B$10) * (CapacityTable[T ext] = $D26) * (CapacityTable[T water out] = $H$8) * (CapacityTable[Type] = $C$19),Tableau2[]),1,6)</f>
        <v>0.65540390296652495</v>
      </c>
      <c r="J26" s="88" cm="1">
        <f t="array" ref="J26">INDEX(_xlfn._xlws.FILTER(CapacityTable[], (CapacityTable[Model] = $B$10) * (CapacityTable[T ext] = $D26) * (CapacityTable[T water out] = $H$8) * (CapacityTable[Type] = $C$19),Tableau2[]),1,7)</f>
        <v>5.9644362620539502</v>
      </c>
      <c r="K26" s="164" cm="1">
        <f t="array" ref="K26">INDEX(_xlfn._xlws.FILTER(CapacityTable[], (CapacityTable[Model] = $B$10) * (CapacityTable[T ext] = $D26) * (CapacityTable[T water out] = $K$8) * (CapacityTable[Type] = $C$19),Tableau2[]),1,5)</f>
        <v>3.8169918432743302</v>
      </c>
      <c r="L26" s="97" cm="1">
        <f t="array" ref="L26">INDEX(_xlfn._xlws.FILTER(CapacityTable[], (CapacityTable[Model] = $B$10) * (CapacityTable[T ext] = $D26) * (CapacityTable[T water out] = $K$8) * (CapacityTable[Type] = $C$19),Tableau2[]),1,6)</f>
        <v>0.73628094672046385</v>
      </c>
      <c r="M26" s="165" cm="1">
        <f t="array" ref="M26">INDEX(_xlfn._xlws.FILTER(CapacityTable[], (CapacityTable[Model] = $B$10) * (CapacityTable[T ext] = $D26) * (CapacityTable[T water out] = $K$8) * (CapacityTable[Type] = $C$19),Tableau2[]),1,7)</f>
        <v>5.1841513219592903</v>
      </c>
      <c r="N26" s="164" cm="1">
        <f t="array" ref="N26">INDEX(_xlfn._xlws.FILTER(CapacityTable[], (CapacityTable[Model] = $B$10) * (CapacityTable[T ext] = $D26) * (CapacityTable[T water out] = $N$8) * (CapacityTable[Type] = $C$19),Tableau2[]),1,5)</f>
        <v>3.7330581664696201</v>
      </c>
      <c r="O26" s="97" cm="1">
        <f t="array" ref="O26">INDEX(_xlfn._xlws.FILTER(CapacityTable[], (CapacityTable[Model] = $B$10) * (CapacityTable[T ext] = $D26) * (CapacityTable[T water out] = $N$8) * (CapacityTable[Type] = $C$19),Tableau2[]),1,6)</f>
        <v>0.81904433049332037</v>
      </c>
      <c r="P26" s="165" cm="1">
        <f t="array" ref="P26">INDEX(_xlfn._xlws.FILTER(CapacityTable[], (CapacityTable[Model] = $B$10) * (CapacityTable[T ext] = $D26) * (CapacityTable[T water out] = $N$8) * (CapacityTable[Type] = $C$19),Tableau2[]),1,7)</f>
        <v>4.5578218754303004</v>
      </c>
      <c r="Q26" s="164" cm="1">
        <f t="array" ref="Q26">INDEX(_xlfn._xlws.FILTER(CapacityTable[], (CapacityTable[Model] = $B$10) * (CapacityTable[T ext] = $D26) * (CapacityTable[T water out] = $Q$8) * (CapacityTable[Type] = $C$19),Tableau2[]),1,5)</f>
        <v>4.1706332703637496</v>
      </c>
      <c r="R26" s="97" cm="1">
        <f t="array" ref="R26">INDEX(_xlfn._xlws.FILTER(CapacityTable[], (CapacityTable[Model] = $B$10) * (CapacityTable[T ext] = $D26) * (CapacityTable[T water out] = $Q$8) * (CapacityTable[Type] = $C$19),Tableau2[]),1,6)</f>
        <v>1.0160610399219692</v>
      </c>
      <c r="S26" s="165" cm="1">
        <f t="array" ref="S26">INDEX(_xlfn._xlws.FILTER(CapacityTable[], (CapacityTable[Model] = $B$10) * (CapacityTable[T ext] = $D26) * (CapacityTable[T water out] = $Q$8) * (CapacityTable[Type] = $C$19),Tableau2[]),1,7)</f>
        <v>4.1047074009294198</v>
      </c>
      <c r="T26" s="164" cm="1">
        <f t="array" ref="T26">INDEX(_xlfn._xlws.FILTER(CapacityTable[], (CapacityTable[Model] = $B$10) * (CapacityTable[T ext] = $D26) * (CapacityTable[T water out] = $T$8) * (CapacityTable[Type] = $C$19),Tableau2[]),1,5)</f>
        <v>4.0704018314353894</v>
      </c>
      <c r="U26" s="97" cm="1">
        <f t="array" ref="U26">INDEX(_xlfn._xlws.FILTER(CapacityTable[], (CapacityTable[Model] = $B$10) * (CapacityTable[T ext] = $D26) * (CapacityTable[T water out] = $T$8) * (CapacityTable[Type] = $C$19),Tableau2[]),1,6)</f>
        <v>1.1171412074649085</v>
      </c>
      <c r="V26" s="165" cm="1">
        <f t="array" ref="V26">INDEX(_xlfn._xlws.FILTER(CapacityTable[], (CapacityTable[Model] = $B$10) * (CapacityTable[T ext] = $D26) * (CapacityTable[T water out] = $T$8) * (CapacityTable[Type] = $C$19),Tableau2[]),1,7)</f>
        <v>3.6435875825153898</v>
      </c>
      <c r="W26" s="164" cm="1">
        <f t="array" ref="W26">INDEX(_xlfn._xlws.FILTER(CapacityTable[], (CapacityTable[Model] = $B$10) * (CapacityTable[T ext] = $D26) * (CapacityTable[T water out] = $W$8) * (CapacityTable[Type] = $C$19),Tableau2[]),1,5)</f>
        <v>4.4674972082462299</v>
      </c>
      <c r="X26" s="97" cm="1">
        <f t="array" ref="X26">INDEX(_xlfn._xlws.FILTER(CapacityTable[], (CapacityTable[Model] = $B$10) * (CapacityTable[T ext] = $D26) * (CapacityTable[T water out] = $W$8) * (CapacityTable[Type] = $C$19),Tableau2[]),1,6)</f>
        <v>1.375914785211692</v>
      </c>
      <c r="Y26" s="165" cm="1">
        <f t="array" ref="Y26">INDEX(_xlfn._xlws.FILTER(CapacityTable[], (CapacityTable[Model] = $B$10) * (CapacityTable[T ext] = $D26) * (CapacityTable[T water out] = $W$8) * (CapacityTable[Type] = $C$19),Tableau2[]),1,7)</f>
        <v>3.2469287024623998</v>
      </c>
      <c r="Z26" s="164" cm="1">
        <f t="array" ref="Z26">INDEX(_xlfn._xlws.FILTER(CapacityTable[], (CapacityTable[Model] = $B$10) * (CapacityTable[T ext] = $D26) * (CapacityTable[T water out] = $Z$8) * (CapacityTable[Type] = $C$19),Tableau2[]),1,5)</f>
        <v>4.8101400257826796</v>
      </c>
      <c r="AA26" s="97" cm="1">
        <f t="array" ref="AA26">INDEX(_xlfn._xlws.FILTER(CapacityTable[], (CapacityTable[Model] = $B$10) * (CapacityTable[T ext] = $D26) * (CapacityTable[T water out] = $Z$8) * (CapacityTable[Type] = $C$19),Tableau2[]),1,6)</f>
        <v>1.6677736065011126</v>
      </c>
      <c r="AB26" s="165" cm="1">
        <f t="array" ref="AB26">INDEX(_xlfn._xlws.FILTER(CapacityTable[], (CapacityTable[Model] = $B$10) * (CapacityTable[T ext] = $D26) * (CapacityTable[T water out] = $Z$8) * (CapacityTable[Type] = $C$19),Tableau2[]),1,7)</f>
        <v>2.8841684548984201</v>
      </c>
      <c r="AC26" s="164" cm="1">
        <f t="array" ref="AC26">INDEX(_xlfn._xlws.FILTER(CapacityTable[], (CapacityTable[Model] = $B$10) * (CapacityTable[T ext] = $D26) * (CapacityTable[T water out] = $AC$8) * (CapacityTable[Type] = $C$19),Tableau2[]),1,5)</f>
        <v>4.6562790044177902</v>
      </c>
      <c r="AD26" s="97" cm="1">
        <f t="array" ref="AD26">INDEX(_xlfn._xlws.FILTER(CapacityTable[], (CapacityTable[Model] = $B$10) * (CapacityTable[T ext] = $D26) * (CapacityTable[T water out] = $AC$8) * (CapacityTable[Type] = $C$19),Tableau2[]),1,6)</f>
        <v>1.8189117529961865</v>
      </c>
      <c r="AE26" s="165" cm="1">
        <f t="array" ref="AE26">INDEX(_xlfn._xlws.FILTER(CapacityTable[], (CapacityTable[Model] = $B$10) * (CapacityTable[T ext] = $D26) * (CapacityTable[T water out] = $AC$8) * (CapacityTable[Type] = $C$19),Tableau2[]),1,7)</f>
        <v>2.55992573402628</v>
      </c>
    </row>
    <row r="27" spans="1:31" ht="15.75" thickBot="1" x14ac:dyDescent="0.3">
      <c r="A27" s="31"/>
      <c r="B27" s="277"/>
      <c r="C27" s="281"/>
      <c r="D27" s="48">
        <v>20</v>
      </c>
      <c r="E27" s="176" cm="1">
        <f t="array" ref="E27">INDEX(_xlfn._xlws.FILTER(CapacityTable[], (CapacityTable[Model] = $B$10) * (CapacityTable[T ext] = $D27) * (CapacityTable[T water out] = $E$8) * (CapacityTable[Type] = $C$19),Tableau2[]),1,5)</f>
        <v>2.8126311299878499</v>
      </c>
      <c r="F27" s="167" cm="1">
        <f t="array" ref="F27">INDEX(_xlfn._xlws.FILTER(CapacityTable[], (CapacityTable[Model] = $B$10) * (CapacityTable[T ext] = $D27) * (CapacityTable[T water out] = $E$8) * (CapacityTable[Type] = $C$19),Tableau2[]),1,6)</f>
        <v>0.26831373977403711</v>
      </c>
      <c r="G27" s="177" cm="1">
        <f t="array" ref="G27">INDEX(_xlfn._xlws.FILTER(CapacityTable[], (CapacityTable[Model] = $B$10) * (CapacityTable[T ext] = $D27) * (CapacityTable[T water out] = $E$8) * (CapacityTable[Type] = $C$19),Tableau2[]),1,7)</f>
        <v>10.482620578269801</v>
      </c>
      <c r="H27" s="178" cm="1">
        <f t="array" ref="H27">INDEX(_xlfn._xlws.FILTER(CapacityTable[], (CapacityTable[Model] = $B$10) * (CapacityTable[T ext] = $D27) * (CapacityTable[T water out] = $H$8) * (CapacityTable[Type] = $C$19),Tableau2[]),1,5)</f>
        <v>3.41882737188857</v>
      </c>
      <c r="I27" s="169" cm="1">
        <f t="array" ref="I27">INDEX(_xlfn._xlws.FILTER(CapacityTable[], (CapacityTable[Model] = $B$10) * (CapacityTable[T ext] = $D27) * (CapacityTable[T water out] = $H$8) * (CapacityTable[Type] = $C$19),Tableau2[]),1,6)</f>
        <v>0.502987656052445</v>
      </c>
      <c r="J27" s="91" cm="1">
        <f t="array" ref="J27">INDEX(_xlfn._xlws.FILTER(CapacityTable[], (CapacityTable[Model] = $B$10) * (CapacityTable[T ext] = $D27) * (CapacityTable[T water out] = $H$8) * (CapacityTable[Type] = $C$19),Tableau2[]),1,7)</f>
        <v>6.7970403065559504</v>
      </c>
      <c r="K27" s="166" cm="1">
        <f t="array" ref="K27">INDEX(_xlfn._xlws.FILTER(CapacityTable[], (CapacityTable[Model] = $B$10) * (CapacityTable[T ext] = $D27) * (CapacityTable[T water out] = $K$8) * (CapacityTable[Type] = $C$19),Tableau2[]),1,5)</f>
        <v>3.83690054740853</v>
      </c>
      <c r="L27" s="167" cm="1">
        <f t="array" ref="L27">INDEX(_xlfn._xlws.FILTER(CapacityTable[], (CapacityTable[Model] = $B$10) * (CapacityTable[T ext] = $D27) * (CapacityTable[T water out] = $K$8) * (CapacityTable[Type] = $C$19),Tableau2[]),1,6)</f>
        <v>0.65748197104869466</v>
      </c>
      <c r="M27" s="168" cm="1">
        <f t="array" ref="M27">INDEX(_xlfn._xlws.FILTER(CapacityTable[], (CapacityTable[Model] = $B$10) * (CapacityTable[T ext] = $D27) * (CapacityTable[T water out] = $K$8) * (CapacityTable[Type] = $C$19),Tableau2[]),1,7)</f>
        <v>5.8357502051175798</v>
      </c>
      <c r="N27" s="166" cm="1">
        <f t="array" ref="N27">INDEX(_xlfn._xlws.FILTER(CapacityTable[], (CapacityTable[Model] = $B$10) * (CapacityTable[T ext] = $D27) * (CapacityTable[T water out] = $N$8) * (CapacityTable[Type] = $C$19),Tableau2[]),1,5)</f>
        <v>4.1522820633803104</v>
      </c>
      <c r="O27" s="167" cm="1">
        <f t="array" ref="O27">INDEX(_xlfn._xlws.FILTER(CapacityTable[], (CapacityTable[Model] = $B$10) * (CapacityTable[T ext] = $D27) * (CapacityTable[T water out] = $N$8) * (CapacityTable[Type] = $C$19),Tableau2[]),1,6)</f>
        <v>0.81560833295126767</v>
      </c>
      <c r="P27" s="168" cm="1">
        <f t="array" ref="P27">INDEX(_xlfn._xlws.FILTER(CapacityTable[], (CapacityTable[Model] = $B$10) * (CapacityTable[T ext] = $D27) * (CapacityTable[T water out] = $N$8) * (CapacityTable[Type] = $C$19),Tableau2[]),1,7)</f>
        <v>5.0910245710160096</v>
      </c>
      <c r="Q27" s="166" cm="1">
        <f t="array" ref="Q27">INDEX(_xlfn._xlws.FILTER(CapacityTable[], (CapacityTable[Model] = $B$10) * (CapacityTable[T ext] = $D27) * (CapacityTable[T water out] = $Q$8) * (CapacityTable[Type] = $C$19),Tableau2[]),1,5)</f>
        <v>4.0722052040651198</v>
      </c>
      <c r="R27" s="167" cm="1">
        <f t="array" ref="R27">INDEX(_xlfn._xlws.FILTER(CapacityTable[], (CapacityTable[Model] = $B$10) * (CapacityTable[T ext] = $D27) * (CapacityTable[T water out] = $Q$8) * (CapacityTable[Type] = $C$19),Tableau2[]),1,6)</f>
        <v>0.89237468327657243</v>
      </c>
      <c r="S27" s="168" cm="1">
        <f t="array" ref="S27">INDEX(_xlfn._xlws.FILTER(CapacityTable[], (CapacityTable[Model] = $B$10) * (CapacityTable[T ext] = $D27) * (CapacityTable[T water out] = $Q$8) * (CapacityTable[Type] = $C$19),Tableau2[]),1,7)</f>
        <v>4.5633356485562997</v>
      </c>
      <c r="T27" s="166" cm="1">
        <f t="array" ref="T27">INDEX(_xlfn._xlws.FILTER(CapacityTable[], (CapacityTable[Model] = $B$10) * (CapacityTable[T ext] = $D27) * (CapacityTable[T water out] = $T$8) * (CapacityTable[Type] = $C$19),Tableau2[]),1,5)</f>
        <v>3.9748225365201804</v>
      </c>
      <c r="U27" s="167" cm="1">
        <f t="array" ref="U27">INDEX(_xlfn._xlws.FILTER(CapacityTable[], (CapacityTable[Model] = $B$10) * (CapacityTable[T ext] = $D27) * (CapacityTable[T water out] = $T$8) * (CapacityTable[Type] = $C$19),Tableau2[]),1,6)</f>
        <v>0.98795056455623198</v>
      </c>
      <c r="V27" s="168" cm="1">
        <f t="array" ref="V27">INDEX(_xlfn._xlws.FILTER(CapacityTable[], (CapacityTable[Model] = $B$10) * (CapacityTable[T ext] = $D27) * (CapacityTable[T water out] = $T$8) * (CapacityTable[Type] = $C$19),Tableau2[]),1,7)</f>
        <v>4.0233010427050999</v>
      </c>
      <c r="W27" s="166" cm="1">
        <f t="array" ref="W27">INDEX(_xlfn._xlws.FILTER(CapacityTable[], (CapacityTable[Model] = $B$10) * (CapacityTable[T ext] = $D27) * (CapacityTable[T water out] = $W$8) * (CapacityTable[Type] = $C$19),Tableau2[]),1,5)</f>
        <v>4.9322506493175293</v>
      </c>
      <c r="X27" s="167" cm="1">
        <f t="array" ref="X27">INDEX(_xlfn._xlws.FILTER(CapacityTable[], (CapacityTable[Model] = $B$10) * (CapacityTable[T ext] = $D27) * (CapacityTable[T water out] = $W$8) * (CapacityTable[Type] = $C$19),Tableau2[]),1,6)</f>
        <v>1.3810795477989237</v>
      </c>
      <c r="Y27" s="168" cm="1">
        <f t="array" ref="Y27">INDEX(_xlfn._xlws.FILTER(CapacityTable[], (CapacityTable[Model] = $B$10) * (CapacityTable[T ext] = $D27) * (CapacityTable[T water out] = $W$8) * (CapacityTable[Type] = $C$19),Tableau2[]),1,7)</f>
        <v>3.5713009125203801</v>
      </c>
      <c r="Z27" s="166" cm="1">
        <f t="array" ref="Z27">INDEX(_xlfn._xlws.FILTER(CapacityTable[], (CapacityTable[Model] = $B$10) * (CapacityTable[T ext] = $D27) * (CapacityTable[T water out] = $Z$8) * (CapacityTable[Type] = $C$19),Tableau2[]),1,5)</f>
        <v>4.7866779842466807</v>
      </c>
      <c r="AA27" s="167" cm="1">
        <f t="array" ref="AA27">INDEX(_xlfn._xlws.FILTER(CapacityTable[], (CapacityTable[Model] = $B$10) * (CapacityTable[T ext] = $D27) * (CapacityTable[T water out] = $Z$8) * (CapacityTable[Type] = $C$19),Tableau2[]),1,6)</f>
        <v>1.51563776715091</v>
      </c>
      <c r="AB27" s="168" cm="1">
        <f t="array" ref="AB27">INDEX(_xlfn._xlws.FILTER(CapacityTable[], (CapacityTable[Model] = $B$10) * (CapacityTable[T ext] = $D27) * (CapacityTable[T water out] = $Z$8) * (CapacityTable[Type] = $C$19),Tableau2[]),1,7)</f>
        <v>3.1581939220508199</v>
      </c>
      <c r="AC27" s="166" cm="1">
        <f t="array" ref="AC27">INDEX(_xlfn._xlws.FILTER(CapacityTable[], (CapacityTable[Model] = $B$10) * (CapacityTable[T ext] = $D27) * (CapacityTable[T water out] = $AC$8) * (CapacityTable[Type] = $C$19),Tableau2[]),1,5)</f>
        <v>5.13026828238094</v>
      </c>
      <c r="AD27" s="167" cm="1">
        <f t="array" ref="AD27">INDEX(_xlfn._xlws.FILTER(CapacityTable[], (CapacityTable[Model] = $B$10) * (CapacityTable[T ext] = $D27) * (CapacityTable[T water out] = $AC$8) * (CapacityTable[Type] = $C$19),Tableau2[]),1,6)</f>
        <v>1.8387334733441338</v>
      </c>
      <c r="AE27" s="168" cm="1">
        <f t="array" ref="AE27">INDEX(_xlfn._xlws.FILTER(CapacityTable[], (CapacityTable[Model] = $B$10) * (CapacityTable[T ext] = $D27) * (CapacityTable[T water out] = $AC$8) * (CapacityTable[Type] = $C$19),Tableau2[]),1,7)</f>
        <v>2.7901097993557702</v>
      </c>
    </row>
    <row r="28" spans="1:31" x14ac:dyDescent="0.25">
      <c r="A28" s="31"/>
      <c r="B28" s="277"/>
      <c r="C28" s="282" t="s">
        <v>166</v>
      </c>
      <c r="D28" s="42">
        <v>-20</v>
      </c>
      <c r="E28" s="83" cm="1">
        <f t="array" ref="E28">INDEX(_xlfn._xlws.FILTER(CapacityTable[], (CapacityTable[Model] = $B$10) * (CapacityTable[T ext] = $D28) * (CapacityTable[T water out] = $E$8) * (CapacityTable[Type] = $C$28),Tableau2[]),1,5)</f>
        <v>1.3162750000000001</v>
      </c>
      <c r="F28" s="106" cm="1">
        <f t="array" ref="F28">INDEX(_xlfn._xlws.FILTER(CapacityTable[], (CapacityTable[Model] = $B$10) * (CapacityTable[T ext] = $D28) * (CapacityTable[T water out] = $E$8) * (CapacityTable[Type] = $C$28),Tableau2[]),1,6)</f>
        <v>0.56229600000000002</v>
      </c>
      <c r="G28" s="107" cm="1">
        <f t="array" ref="G28">INDEX(_xlfn._xlws.FILTER(CapacityTable[], (CapacityTable[Model] = $B$10) * (CapacityTable[T ext] = $D28) * (CapacityTable[T water out] = $E$8) * (CapacityTable[Type] = $C$28),Tableau2[]),1,7)</f>
        <v>2.3408929999999999</v>
      </c>
      <c r="H28" s="93" cm="1">
        <f t="array" ref="H28">INDEX(_xlfn._xlws.FILTER(CapacityTable[], (CapacityTable[Model] = $B$10) * (CapacityTable[T ext] = $D28) * (CapacityTable[T water out] = $H$8) * (CapacityTable[Type] = $C$28),Tableau2[]),1,5)</f>
        <v>1.188742</v>
      </c>
      <c r="I28" s="95" cm="1">
        <f t="array" ref="I28">INDEX(_xlfn._xlws.FILTER(CapacityTable[], (CapacityTable[Model] = $B$10) * (CapacityTable[T ext] = $D28) * (CapacityTable[T water out] = $H$8) * (CapacityTable[Type] = $C$28),Tableau2[]),1,6)</f>
        <v>0.674956</v>
      </c>
      <c r="J28" s="104" cm="1">
        <f t="array" ref="J28">INDEX(_xlfn._xlws.FILTER(CapacityTable[], (CapacityTable[Model] = $B$10) * (CapacityTable[T ext] = $D28) * (CapacityTable[T water out] = $H$8) * (CapacityTable[Type] = $C$28),Tableau2[]),1,7)</f>
        <v>1.7612140000000001</v>
      </c>
      <c r="K28" s="83" cm="1">
        <f t="array" ref="K28">INDEX(_xlfn._xlws.FILTER(CapacityTable[], (CapacityTable[Model] = $B$10) * (CapacityTable[T ext] = $D28) * (CapacityTable[T water out] = $K$8) * (CapacityTable[Type] = $C$28),Tableau2[]),1,5)</f>
        <v>1.1537980000000001</v>
      </c>
      <c r="L28" s="106" cm="1">
        <f t="array" ref="L28">INDEX(_xlfn._xlws.FILTER(CapacityTable[], (CapacityTable[Model] = $B$10) * (CapacityTable[T ext] = $D28) * (CapacityTable[T water out] = $K$8) * (CapacityTable[Type] = $C$28),Tableau2[]),1,6)</f>
        <v>0.72745199999999999</v>
      </c>
      <c r="M28" s="107" cm="1">
        <f t="array" ref="M28">INDEX(_xlfn._xlws.FILTER(CapacityTable[], (CapacityTable[Model] = $B$10) * (CapacityTable[T ext] = $D28) * (CapacityTable[T water out] = $K$8) * (CapacityTable[Type] = $C$28),Tableau2[]),1,7)</f>
        <v>1.586082</v>
      </c>
      <c r="N28" s="111" cm="1">
        <f t="array" ref="N28">INDEX(_xlfn._xlws.FILTER(CapacityTable[], (CapacityTable[Model] = $B$10) * (CapacityTable[T ext] = $D28) * (CapacityTable[T water out] = $N$8) * (CapacityTable[Type] = $C$28),Tableau2[]),1,5)</f>
        <v>1.128849</v>
      </c>
      <c r="O28" s="84" cm="1">
        <f t="array" ref="O28">INDEX(_xlfn._xlws.FILTER(CapacityTable[], (CapacityTable[Model] = $B$10) * (CapacityTable[T ext] = $D28) * (CapacityTable[T water out] = $N$8) * (CapacityTable[Type] = $C$28),Tableau2[]),1,6)</f>
        <v>0.78081400000000001</v>
      </c>
      <c r="P28" s="85" cm="1">
        <f t="array" ref="P28">INDEX(_xlfn._xlws.FILTER(CapacityTable[], (CapacityTable[Model] = $B$10) * (CapacityTable[T ext] = $D28) * (CapacityTable[T water out] = $N$8) * (CapacityTable[Type] = $C$28),Tableau2[]),1,7)</f>
        <v>1.4457329999999999</v>
      </c>
      <c r="Q28" s="111" cm="1">
        <f t="array" ref="Q28">INDEX(_xlfn._xlws.FILTER(CapacityTable[], (CapacityTable[Model] = $B$10) * (CapacityTable[T ext] = $D28) * (CapacityTable[T water out] = $Q$8) * (CapacityTable[Type] = $C$28),Tableau2[]),1,5)</f>
        <v>1.1088739999999999</v>
      </c>
      <c r="R28" s="84" cm="1">
        <f t="array" ref="R28">INDEX(_xlfn._xlws.FILTER(CapacityTable[], (CapacityTable[Model] = $B$10) * (CapacityTable[T ext] = $D28) * (CapacityTable[T water out] = $Q$8) * (CapacityTable[Type] = $C$28),Tableau2[]),1,6)</f>
        <v>0.83760900000000005</v>
      </c>
      <c r="S28" s="85" cm="1">
        <f t="array" ref="S28">INDEX(_xlfn._xlws.FILTER(CapacityTable[], (CapacityTable[Model] = $B$10) * (CapacityTable[T ext] = $D28) * (CapacityTable[T water out] = $Q$8) * (CapacityTable[Type] = $C$28),Tableau2[]),1,7)</f>
        <v>1.3238570000000001</v>
      </c>
      <c r="T28" s="111" cm="1">
        <f t="array" ref="T28">INDEX(_xlfn._xlws.FILTER(CapacityTable[], (CapacityTable[Model] = $B$10) * (CapacityTable[T ext] = $D28) * (CapacityTable[T water out] = $T$8) * (CapacityTable[Type] = $C$28),Tableau2[]),1,5)</f>
        <v>1.0906260000000001</v>
      </c>
      <c r="U28" s="84" cm="1">
        <f t="array" ref="U28">INDEX(_xlfn._xlws.FILTER(CapacityTable[], (CapacityTable[Model] = $B$10) * (CapacityTable[T ext] = $D28) * (CapacityTable[T water out] = $T$8) * (CapacityTable[Type] = $C$28),Tableau2[]),1,6)</f>
        <v>0.90028900000000001</v>
      </c>
      <c r="V28" s="85" cm="1">
        <f t="array" ref="V28">INDEX(_xlfn._xlws.FILTER(CapacityTable[], (CapacityTable[Model] = $B$10) * (CapacityTable[T ext] = $D28) * (CapacityTable[T water out] = $T$8) * (CapacityTable[Type] = $C$28),Tableau2[]),1,7)</f>
        <v>1.211419</v>
      </c>
      <c r="W28" s="111" cm="1">
        <f t="array" ref="W28">INDEX(_xlfn._xlws.FILTER(CapacityTable[], (CapacityTable[Model] = $B$10) * (CapacityTable[T ext] = $D28) * (CapacityTable[T water out] = $W$8) * (CapacityTable[Type] = $C$28),Tableau2[]),1,5)</f>
        <v>1.072756</v>
      </c>
      <c r="X28" s="84" cm="1">
        <f t="array" ref="X28">INDEX(_xlfn._xlws.FILTER(CapacityTable[], (CapacityTable[Model] = $B$10) * (CapacityTable[T ext] = $D28) * (CapacityTable[T water out] = $W$8) * (CapacityTable[Type] = $C$28),Tableau2[]),1,6)</f>
        <v>0.97107900000000003</v>
      </c>
      <c r="Y28" s="85" cm="1">
        <f t="array" ref="Y28">INDEX(_xlfn._xlws.FILTER(CapacityTable[], (CapacityTable[Model] = $B$10) * (CapacityTable[T ext] = $D28) * (CapacityTable[T water out] = $W$8) * (CapacityTable[Type] = $C$28),Tableau2[]),1,7)</f>
        <v>1.104705</v>
      </c>
      <c r="Z28" s="111" cm="1">
        <f t="array" ref="Z28">INDEX(_xlfn._xlws.FILTER(CapacityTable[], (CapacityTable[Model] = $B$10) * (CapacityTable[T ext] = $D28) * (CapacityTable[T water out] = $Z$8) * (CapacityTable[Type] = $C$28),Tableau2[]),1,5)</f>
        <v>1.422282</v>
      </c>
      <c r="AA28" s="84" cm="1">
        <f t="array" ref="AA28">INDEX(_xlfn._xlws.FILTER(CapacityTable[], (CapacityTable[Model] = $B$10) * (CapacityTable[T ext] = $D28) * (CapacityTable[T water out] = $Z$8) * (CapacityTable[Type] = $C$28),Tableau2[]),1,6)</f>
        <v>1.2557929999999999</v>
      </c>
      <c r="AB28" s="85" cm="1">
        <f t="array" ref="AB28">INDEX(_xlfn._xlws.FILTER(CapacityTable[], (CapacityTable[Model] = $B$10) * (CapacityTable[T ext] = $D28) * (CapacityTable[T water out] = $Z$8) * (CapacityTable[Type] = $C$28),Tableau2[]),1,7)</f>
        <v>1.1325769999999999</v>
      </c>
      <c r="AC28" s="111" t="str" cm="1">
        <f t="array" ref="AC28">INDEX(_xlfn._xlws.FILTER(CapacityTable[], (CapacityTable[Model] = $B$10) * (CapacityTable[T ext] = $D28) * (CapacityTable[T water out] = $AC$8) * (CapacityTable[Type] = $C$28),Tableau2[]),1,5)</f>
        <v>N.A.</v>
      </c>
      <c r="AD28" s="84" t="str" cm="1">
        <f t="array" ref="AD28">INDEX(_xlfn._xlws.FILTER(CapacityTable[], (CapacityTable[Model] = $B$10) * (CapacityTable[T ext] = $D28) * (CapacityTable[T water out] = $AC$8) * (CapacityTable[Type] = $C$28),Tableau2[]),1,6)</f>
        <v>N.A.</v>
      </c>
      <c r="AE28" s="85" t="str" cm="1">
        <f t="array" ref="AE28">INDEX(_xlfn._xlws.FILTER(CapacityTable[], (CapacityTable[Model] = $B$10) * (CapacityTable[T ext] = $D28) * (CapacityTable[T water out] = $AC$8) * (CapacityTable[Type] = $C$28),Tableau2[]),1,7)</f>
        <v>N.A.</v>
      </c>
    </row>
    <row r="29" spans="1:31" x14ac:dyDescent="0.25">
      <c r="A29" s="31"/>
      <c r="B29" s="277"/>
      <c r="C29" s="279"/>
      <c r="D29" s="37">
        <v>-15</v>
      </c>
      <c r="E29" s="180" cm="1">
        <f t="array" ref="E29">INDEX(_xlfn._xlws.FILTER(CapacityTable[], (CapacityTable[Model] = $B$10) * (CapacityTable[T ext] = $D29) * (CapacityTable[T water out] = $E$8) * (CapacityTable[Type] = $C$28),Tableau2[]),1,5)</f>
        <v>1.6202375897875501</v>
      </c>
      <c r="F29" s="104" cm="1">
        <f t="array" ref="F29">INDEX(_xlfn._xlws.FILTER(CapacityTable[], (CapacityTable[Model] = $B$10) * (CapacityTable[T ext] = $D29) * (CapacityTable[T water out] = $E$8) * (CapacityTable[Type] = $C$28),Tableau2[]),1,6)</f>
        <v>0.5796466383162352</v>
      </c>
      <c r="G29" s="181" cm="1">
        <f t="array" ref="G29">INDEX(_xlfn._xlws.FILTER(CapacityTable[], (CapacityTable[Model] = $B$10) * (CapacityTable[T ext] = $D29) * (CapacityTable[T water out] = $E$8) * (CapacityTable[Type] = $C$28),Tableau2[]),1,7)</f>
        <v>2.7952160552401999</v>
      </c>
      <c r="H29" s="93" cm="1">
        <f t="array" ref="H29">INDEX(_xlfn._xlws.FILTER(CapacityTable[], (CapacityTable[Model] = $B$10) * (CapacityTable[T ext] = $D29) * (CapacityTable[T water out] = $H$8) * (CapacityTable[Type] = $C$28),Tableau2[]),1,5)</f>
        <v>1.49928844045194</v>
      </c>
      <c r="I29" s="96" cm="1">
        <f t="array" ref="I29">INDEX(_xlfn._xlws.FILTER(CapacityTable[], (CapacityTable[Model] = $B$10) * (CapacityTable[T ext] = $D29) * (CapacityTable[T water out] = $H$8) * (CapacityTable[Type] = $C$28),Tableau2[]),1,6)</f>
        <v>0.70084212502465082</v>
      </c>
      <c r="J29" s="108" cm="1">
        <f t="array" ref="J29">INDEX(_xlfn._xlws.FILTER(CapacityTable[], (CapacityTable[Model] = $B$10) * (CapacityTable[T ext] = $D29) * (CapacityTable[T water out] = $H$8) * (CapacityTable[Type] = $C$28),Tableau2[]),1,7)</f>
        <v>2.1392670145208599</v>
      </c>
      <c r="K29" s="180" cm="1">
        <f t="array" ref="K29">INDEX(_xlfn._xlws.FILTER(CapacityTable[], (CapacityTable[Model] = $B$10) * (CapacityTable[T ext] = $D29) * (CapacityTable[T water out] = $K$8) * (CapacityTable[Type] = $C$28),Tableau2[]),1,5)</f>
        <v>1.46707501871482</v>
      </c>
      <c r="L29" s="104" cm="1">
        <f t="array" ref="L29">INDEX(_xlfn._xlws.FILTER(CapacityTable[], (CapacityTable[Model] = $B$10) * (CapacityTable[T ext] = $D29) * (CapacityTable[T water out] = $K$8) * (CapacityTable[Type] = $C$28),Tableau2[]),1,6)</f>
        <v>0.75771216585253565</v>
      </c>
      <c r="M29" s="181" cm="1">
        <f t="array" ref="M29">INDEX(_xlfn._xlws.FILTER(CapacityTable[], (CapacityTable[Model] = $B$10) * (CapacityTable[T ext] = $D29) * (CapacityTable[T water out] = $K$8) * (CapacityTable[Type] = $C$28),Tableau2[]),1,7)</f>
        <v>1.9361903963415299</v>
      </c>
      <c r="N29" s="93" cm="1">
        <f t="array" ref="N29">INDEX(_xlfn._xlws.FILTER(CapacityTable[], (CapacityTable[Model] = $B$10) * (CapacityTable[T ext] = $D29) * (CapacityTable[T water out] = $N$8) * (CapacityTable[Type] = $C$28),Tableau2[]),1,5)</f>
        <v>1.44387522302313</v>
      </c>
      <c r="O29" s="104" cm="1">
        <f t="array" ref="O29">INDEX(_xlfn._xlws.FILTER(CapacityTable[], (CapacityTable[Model] = $B$10) * (CapacityTable[T ext] = $D29) * (CapacityTable[T water out] = $N$8) * (CapacityTable[Type] = $C$28),Tableau2[]),1,6)</f>
        <v>0.81556833030761788</v>
      </c>
      <c r="P29" s="99" cm="1">
        <f t="array" ref="P29">INDEX(_xlfn._xlws.FILTER(CapacityTable[], (CapacityTable[Model] = $B$10) * (CapacityTable[T ext] = $D29) * (CapacityTable[T water out] = $N$8) * (CapacityTable[Type] = $C$28),Tableau2[]),1,7)</f>
        <v>1.7703914796183</v>
      </c>
      <c r="Q29" s="93" cm="1">
        <f t="array" ref="Q29">INDEX(_xlfn._xlws.FILTER(CapacityTable[], (CapacityTable[Model] = $B$10) * (CapacityTable[T ext] = $D29) * (CapacityTable[T water out] = $Q$8) * (CapacityTable[Type] = $C$28),Tableau2[]),1,5)</f>
        <v>1.4242579906899899</v>
      </c>
      <c r="R29" s="104" cm="1">
        <f t="array" ref="R29">INDEX(_xlfn._xlws.FILTER(CapacityTable[], (CapacityTable[Model] = $B$10) * (CapacityTable[T ext] = $D29) * (CapacityTable[T water out] = $Q$8) * (CapacityTable[Type] = $C$28),Tableau2[]),1,6)</f>
        <v>0.8769972988271898</v>
      </c>
      <c r="S29" s="99" cm="1">
        <f t="array" ref="S29">INDEX(_xlfn._xlws.FILTER(CapacityTable[], (CapacityTable[Model] = $B$10) * (CapacityTable[T ext] = $D29) * (CapacityTable[T water out] = $Q$8) * (CapacityTable[Type] = $C$28),Tableau2[]),1,7)</f>
        <v>1.62401639388702</v>
      </c>
      <c r="T29" s="93" cm="1">
        <f t="array" ref="T29">INDEX(_xlfn._xlws.FILTER(CapacityTable[], (CapacityTable[Model] = $B$10) * (CapacityTable[T ext] = $D29) * (CapacityTable[T water out] = $T$8) * (CapacityTable[Type] = $C$28),Tableau2[]),1,5)</f>
        <v>1.4045627082807199</v>
      </c>
      <c r="U29" s="104" cm="1">
        <f t="array" ref="U29">INDEX(_xlfn._xlws.FILTER(CapacityTable[], (CapacityTable[Model] = $B$10) * (CapacityTable[T ext] = $D29) * (CapacityTable[T water out] = $T$8) * (CapacityTable[Type] = $C$28),Tableau2[]),1,6)</f>
        <v>0.94449079987809248</v>
      </c>
      <c r="V29" s="99" cm="1">
        <f t="array" ref="V29">INDEX(_xlfn._xlws.FILTER(CapacityTable[], (CapacityTable[Model] = $B$10) * (CapacityTable[T ext] = $D29) * (CapacityTable[T water out] = $T$8) * (CapacityTable[Type] = $C$28),Tableau2[]),1,7)</f>
        <v>1.4871110533443099</v>
      </c>
      <c r="W29" s="93" cm="1">
        <f t="array" ref="W29">INDEX(_xlfn._xlws.FILTER(CapacityTable[], (CapacityTable[Model] = $B$10) * (CapacityTable[T ext] = $D29) * (CapacityTable[T water out] = $W$8) * (CapacityTable[Type] = $C$28),Tableau2[]),1,5)</f>
        <v>1.3830905451097102</v>
      </c>
      <c r="X29" s="104" cm="1">
        <f t="array" ref="X29">INDEX(_xlfn._xlws.FILTER(CapacityTable[], (CapacityTable[Model] = $B$10) * (CapacityTable[T ext] = $D29) * (CapacityTable[T water out] = $W$8) * (CapacityTable[Type] = $C$28),Tableau2[]),1,6)</f>
        <v>1.0202623174675314</v>
      </c>
      <c r="Y29" s="99" cm="1">
        <f t="array" ref="Y29">INDEX(_xlfn._xlws.FILTER(CapacityTable[], (CapacityTable[Model] = $B$10) * (CapacityTable[T ext] = $D29) * (CapacityTable[T water out] = $W$8) * (CapacityTable[Type] = $C$28),Tableau2[]),1,7)</f>
        <v>1.3556224918144399</v>
      </c>
      <c r="Z29" s="93" cm="1">
        <f t="array" ref="Z29">INDEX(_xlfn._xlws.FILTER(CapacityTable[], (CapacityTable[Model] = $B$10) * (CapacityTable[T ext] = $D29) * (CapacityTable[T water out] = $Z$8) * (CapacityTable[Type] = $C$28),Tableau2[]),1,5)</f>
        <v>1.36006075487933</v>
      </c>
      <c r="AA29" s="104" cm="1">
        <f t="array" ref="AA29">INDEX(_xlfn._xlws.FILTER(CapacityTable[], (CapacityTable[Model] = $B$10) * (CapacityTable[T ext] = $D29) * (CapacityTable[T water out] = $Z$8) * (CapacityTable[Type] = $C$28),Tableau2[]),1,6)</f>
        <v>1.1064738108089291</v>
      </c>
      <c r="AB29" s="99" cm="1">
        <f t="array" ref="AB29">INDEX(_xlfn._xlws.FILTER(CapacityTable[], (CapacityTable[Model] = $B$10) * (CapacityTable[T ext] = $D29) * (CapacityTable[T water out] = $Z$8) * (CapacityTable[Type] = $C$28),Tableau2[]),1,7)</f>
        <v>1.2291847683995401</v>
      </c>
      <c r="AC29" s="93" t="str" cm="1">
        <f t="array" ref="AC29">INDEX(_xlfn._xlws.FILTER(CapacityTable[], (CapacityTable[Model] = $B$10) * (CapacityTable[T ext] = $D29) * (CapacityTable[T water out] = $AC$8) * (CapacityTable[Type] = $C$28),Tableau2[]),1,5)</f>
        <v>N.A.</v>
      </c>
      <c r="AD29" s="104" t="str" cm="1">
        <f t="array" ref="AD29">INDEX(_xlfn._xlws.FILTER(CapacityTable[], (CapacityTable[Model] = $B$10) * (CapacityTable[T ext] = $D29) * (CapacityTable[T water out] = $AC$8) * (CapacityTable[Type] = $C$28),Tableau2[]),1,6)</f>
        <v>N.A.</v>
      </c>
      <c r="AE29" s="99" t="str" cm="1">
        <f t="array" ref="AE29">INDEX(_xlfn._xlws.FILTER(CapacityTable[], (CapacityTable[Model] = $B$10) * (CapacityTable[T ext] = $D29) * (CapacityTable[T water out] = $AC$8) * (CapacityTable[Type] = $C$28),Tableau2[]),1,7)</f>
        <v>N.A.</v>
      </c>
    </row>
    <row r="30" spans="1:31" x14ac:dyDescent="0.25">
      <c r="A30" s="31"/>
      <c r="B30" s="277"/>
      <c r="C30" s="279"/>
      <c r="D30" s="37">
        <v>-10</v>
      </c>
      <c r="E30" s="180" cm="1">
        <f t="array" ref="E30">INDEX(_xlfn._xlws.FILTER(CapacityTable[], (CapacityTable[Model] = $B$10) * (CapacityTable[T ext] = $D30) * (CapacityTable[T water out] = $E$8) * (CapacityTable[Type] = $C$28),Tableau2[]),1,5)</f>
        <v>1.7445804045311399</v>
      </c>
      <c r="F30" s="104" cm="1">
        <f t="array" ref="F30">INDEX(_xlfn._xlws.FILTER(CapacityTable[], (CapacityTable[Model] = $B$10) * (CapacityTable[T ext] = $D30) * (CapacityTable[T water out] = $E$8) * (CapacityTable[Type] = $C$28),Tableau2[]),1,6)</f>
        <v>0.54328699955394111</v>
      </c>
      <c r="G30" s="181" cm="1">
        <f t="array" ref="G30">INDEX(_xlfn._xlws.FILTER(CapacityTable[], (CapacityTable[Model] = $B$10) * (CapacityTable[T ext] = $D30) * (CapacityTable[T water out] = $E$8) * (CapacityTable[Type] = $C$28),Tableau2[]),1,7)</f>
        <v>3.2111580177024401</v>
      </c>
      <c r="H30" s="93" cm="1">
        <f t="array" ref="H30">INDEX(_xlfn._xlws.FILTER(CapacityTable[], (CapacityTable[Model] = $B$10) * (CapacityTable[T ext] = $D30) * (CapacityTable[T water out] = $H$8) * (CapacityTable[Type] = $C$28),Tableau2[]),1,5)</f>
        <v>1.6311822106870899</v>
      </c>
      <c r="I30" s="96" cm="1">
        <f t="array" ref="I30">INDEX(_xlfn._xlws.FILTER(CapacityTable[], (CapacityTable[Model] = $B$10) * (CapacityTable[T ext] = $D30) * (CapacityTable[T water out] = $H$8) * (CapacityTable[Type] = $C$28),Tableau2[]),1,6)</f>
        <v>0.66530640070571301</v>
      </c>
      <c r="J30" s="108" cm="1">
        <f t="array" ref="J30">INDEX(_xlfn._xlws.FILTER(CapacityTable[], (CapacityTable[Model] = $B$10) * (CapacityTable[T ext] = $D30) * (CapacityTable[T water out] = $H$8) * (CapacityTable[Type] = $C$28),Tableau2[]),1,7)</f>
        <v>2.4517759170163398</v>
      </c>
      <c r="K30" s="180" cm="1">
        <f t="array" ref="K30">INDEX(_xlfn._xlws.FILTER(CapacityTable[], (CapacityTable[Model] = $B$10) * (CapacityTable[T ext] = $D30) * (CapacityTable[T water out] = $K$8) * (CapacityTable[Type] = $C$28),Tableau2[]),1,5)</f>
        <v>1.6026908873088901</v>
      </c>
      <c r="L30" s="104" cm="1">
        <f t="array" ref="L30">INDEX(_xlfn._xlws.FILTER(CapacityTable[], (CapacityTable[Model] = $B$10) * (CapacityTable[T ext] = $D30) * (CapacityTable[T water out] = $K$8) * (CapacityTable[Type] = $C$28),Tableau2[]),1,6)</f>
        <v>0.72264977384076146</v>
      </c>
      <c r="M30" s="181" cm="1">
        <f t="array" ref="M30">INDEX(_xlfn._xlws.FILTER(CapacityTable[], (CapacityTable[Model] = $B$10) * (CapacityTable[T ext] = $D30) * (CapacityTable[T water out] = $K$8) * (CapacityTable[Type] = $C$28),Tableau2[]),1,7)</f>
        <v>2.21779753529965</v>
      </c>
      <c r="N30" s="93" cm="1">
        <f t="array" ref="N30">INDEX(_xlfn._xlws.FILTER(CapacityTable[], (CapacityTable[Model] = $B$10) * (CapacityTable[T ext] = $D30) * (CapacityTable[T water out] = $N$8) * (CapacityTable[Type] = $C$28),Tableau2[]),1,5)</f>
        <v>1.58355830719159</v>
      </c>
      <c r="O30" s="104" cm="1">
        <f t="array" ref="O30">INDEX(_xlfn._xlws.FILTER(CapacityTable[], (CapacityTable[Model] = $B$10) * (CapacityTable[T ext] = $D30) * (CapacityTable[T water out] = $N$8) * (CapacityTable[Type] = $C$28),Tableau2[]),1,6)</f>
        <v>0.78110661323800756</v>
      </c>
      <c r="P30" s="99" cm="1">
        <f t="array" ref="P30">INDEX(_xlfn._xlws.FILTER(CapacityTable[], (CapacityTable[Model] = $B$10) * (CapacityTable[T ext] = $D30) * (CapacityTable[T water out] = $N$8) * (CapacityTable[Type] = $C$28),Tableau2[]),1,7)</f>
        <v>2.0273267187267701</v>
      </c>
      <c r="Q30" s="93" cm="1">
        <f t="array" ref="Q30">INDEX(_xlfn._xlws.FILTER(CapacityTable[], (CapacityTable[Model] = $B$10) * (CapacityTable[T ext] = $D30) * (CapacityTable[T water out] = $Q$8) * (CapacityTable[Type] = $C$28),Tableau2[]),1,5)</f>
        <v>1.5684445695918001</v>
      </c>
      <c r="R30" s="104" cm="1">
        <f t="array" ref="R30">INDEX(_xlfn._xlws.FILTER(CapacityTable[], (CapacityTable[Model] = $B$10) * (CapacityTable[T ext] = $D30) * (CapacityTable[T water out] = $Q$8) * (CapacityTable[Type] = $C$28),Tableau2[]),1,6)</f>
        <v>0.84334524138757538</v>
      </c>
      <c r="S30" s="99" cm="1">
        <f t="array" ref="S30">INDEX(_xlfn._xlws.FILTER(CapacityTable[], (CapacityTable[Model] = $B$10) * (CapacityTable[T ext] = $D30) * (CapacityTable[T water out] = $Q$8) * (CapacityTable[Type] = $C$28),Tableau2[]),1,7)</f>
        <v>1.85978943452767</v>
      </c>
      <c r="T30" s="93" cm="1">
        <f t="array" ref="T30">INDEX(_xlfn._xlws.FILTER(CapacityTable[], (CapacityTable[Model] = $B$10) * (CapacityTable[T ext] = $D30) * (CapacityTable[T water out] = $T$8) * (CapacityTable[Type] = $C$28),Tableau2[]),1,5)</f>
        <v>1.5535773697209199</v>
      </c>
      <c r="U30" s="104" cm="1">
        <f t="array" ref="U30">INDEX(_xlfn._xlws.FILTER(CapacityTable[], (CapacityTable[Model] = $B$10) * (CapacityTable[T ext] = $D30) * (CapacityTable[T water out] = $T$8) * (CapacityTable[Type] = $C$28),Tableau2[]),1,6)</f>
        <v>0.91193768598588987</v>
      </c>
      <c r="V30" s="99" cm="1">
        <f t="array" ref="V30">INDEX(_xlfn._xlws.FILTER(CapacityTable[], (CapacityTable[Model] = $B$10) * (CapacityTable[T ext] = $D30) * (CapacityTable[T water out] = $T$8) * (CapacityTable[Type] = $C$28),Tableau2[]),1,7)</f>
        <v>1.7036003595370199</v>
      </c>
      <c r="W30" s="93" cm="1">
        <f t="array" ref="W30">INDEX(_xlfn._xlws.FILTER(CapacityTable[], (CapacityTable[Model] = $B$10) * (CapacityTable[T ext] = $D30) * (CapacityTable[T water out] = $W$8) * (CapacityTable[Type] = $C$28),Tableau2[]),1,5)</f>
        <v>1.5369506747961199</v>
      </c>
      <c r="X30" s="104" cm="1">
        <f t="array" ref="X30">INDEX(_xlfn._xlws.FILTER(CapacityTable[], (CapacityTable[Model] = $B$10) * (CapacityTable[T ext] = $D30) * (CapacityTable[T water out] = $W$8) * (CapacityTable[Type] = $C$28),Tableau2[]),1,6)</f>
        <v>0.98918291874548137</v>
      </c>
      <c r="Y30" s="99" cm="1">
        <f t="array" ref="Y30">INDEX(_xlfn._xlws.FILTER(CapacityTable[], (CapacityTable[Model] = $B$10) * (CapacityTable[T ext] = $D30) * (CapacityTable[T water out] = $W$8) * (CapacityTable[Type] = $C$28),Tableau2[]),1,7)</f>
        <v>1.55375779915947</v>
      </c>
      <c r="Z30" s="93" cm="1">
        <f t="array" ref="Z30">INDEX(_xlfn._xlws.FILTER(CapacityTable[], (CapacityTable[Model] = $B$10) * (CapacityTable[T ext] = $D30) * (CapacityTable[T water out] = $Z$8) * (CapacityTable[Type] = $C$28),Tableau2[]),1,5)</f>
        <v>1.5183344550095901</v>
      </c>
      <c r="AA30" s="104" cm="1">
        <f t="array" ref="AA30">INDEX(_xlfn._xlws.FILTER(CapacityTable[], (CapacityTable[Model] = $B$10) * (CapacityTable[T ext] = $D30) * (CapacityTable[T water out] = $Z$8) * (CapacityTable[Type] = $C$28),Tableau2[]),1,6)</f>
        <v>1.0773178476253114</v>
      </c>
      <c r="AB30" s="99" cm="1">
        <f t="array" ref="AB30">INDEX(_xlfn._xlws.FILTER(CapacityTable[], (CapacityTable[Model] = $B$10) * (CapacityTable[T ext] = $D30) * (CapacityTable[T water out] = $Z$8) * (CapacityTable[Type] = $C$28),Tableau2[]),1,7)</f>
        <v>1.40936535893877</v>
      </c>
      <c r="AC30" s="93" cm="1">
        <f t="array" ref="AC30">INDEX(_xlfn._xlws.FILTER(CapacityTable[], (CapacityTable[Model] = $B$10) * (CapacityTable[T ext] = $D30) * (CapacityTable[T water out] = $AC$8) * (CapacityTable[Type] = $C$28),Tableau2[]),1,5)</f>
        <v>1.6266234722967099</v>
      </c>
      <c r="AD30" s="104" cm="1">
        <f t="array" ref="AD30">INDEX(_xlfn._xlws.FILTER(CapacityTable[], (CapacityTable[Model] = $B$10) * (CapacityTable[T ext] = $D30) * (CapacityTable[T water out] = $AC$8) * (CapacityTable[Type] = $C$28),Tableau2[]),1,6)</f>
        <v>1.2569057151164411</v>
      </c>
      <c r="AE30" s="99" cm="1">
        <f t="array" ref="AE30">INDEX(_xlfn._xlws.FILTER(CapacityTable[], (CapacityTable[Model] = $B$10) * (CapacityTable[T ext] = $D30) * (CapacityTable[T water out] = $AC$8) * (CapacityTable[Type] = $C$28),Tableau2[]),1,7)</f>
        <v>1.29414915751737</v>
      </c>
    </row>
    <row r="31" spans="1:31" x14ac:dyDescent="0.25">
      <c r="A31" s="31"/>
      <c r="B31" s="277"/>
      <c r="C31" s="279"/>
      <c r="D31" s="37">
        <v>-7</v>
      </c>
      <c r="E31" s="180" cm="1">
        <f t="array" ref="E31">INDEX(_xlfn._xlws.FILTER(CapacityTable[], (CapacityTable[Model] = $B$10) * (CapacityTable[T ext] = $D31) * (CapacityTable[T water out] = $E$8) * (CapacityTable[Type] = $C$28),Tableau2[]),1,5)</f>
        <v>1.6650971769799101</v>
      </c>
      <c r="F31" s="104" cm="1">
        <f t="array" ref="F31">INDEX(_xlfn._xlws.FILTER(CapacityTable[], (CapacityTable[Model] = $B$10) * (CapacityTable[T ext] = $D31) * (CapacityTable[T water out] = $E$8) * (CapacityTable[Type] = $C$28),Tableau2[]),1,6)</f>
        <v>0.48861600768750563</v>
      </c>
      <c r="G31" s="181" cm="1">
        <f t="array" ref="G31">INDEX(_xlfn._xlws.FILTER(CapacityTable[], (CapacityTable[Model] = $B$10) * (CapacityTable[T ext] = $D31) * (CapacityTable[T water out] = $E$8) * (CapacityTable[Type] = $C$28),Tableau2[]),1,7)</f>
        <v>3.4077826980339601</v>
      </c>
      <c r="H31" s="93" cm="1">
        <f t="array" ref="H31">INDEX(_xlfn._xlws.FILTER(CapacityTable[], (CapacityTable[Model] = $B$10) * (CapacityTable[T ext] = $D31) * (CapacityTable[T water out] = $H$8) * (CapacityTable[Type] = $C$28),Tableau2[]),1,5)</f>
        <v>1.5602695549155601</v>
      </c>
      <c r="I31" s="96" cm="1">
        <f t="array" ref="I31">INDEX(_xlfn._xlws.FILTER(CapacityTable[], (CapacityTable[Model] = $B$10) * (CapacityTable[T ext] = $D31) * (CapacityTable[T water out] = $H$8) * (CapacityTable[Type] = $C$28),Tableau2[]),1,6)</f>
        <v>0.60528013561686234</v>
      </c>
      <c r="J31" s="108" cm="1">
        <f t="array" ref="J31">INDEX(_xlfn._xlws.FILTER(CapacityTable[], (CapacityTable[Model] = $B$10) * (CapacityTable[T ext] = $D31) * (CapacityTable[T water out] = $H$8) * (CapacityTable[Type] = $C$28),Tableau2[]),1,7)</f>
        <v>2.5777643492718201</v>
      </c>
      <c r="K31" s="180" cm="1">
        <f t="array" ref="K31">INDEX(_xlfn._xlws.FILTER(CapacityTable[], (CapacityTable[Model] = $B$10) * (CapacityTable[T ext] = $D31) * (CapacityTable[T water out] = $K$8) * (CapacityTable[Type] = $C$28),Tableau2[]),1,5)</f>
        <v>1.53577986375519</v>
      </c>
      <c r="L31" s="104" cm="1">
        <f t="array" ref="L31">INDEX(_xlfn._xlws.FILTER(CapacityTable[], (CapacityTable[Model] = $B$10) * (CapacityTable[T ext] = $D31) * (CapacityTable[T water out] = $K$8) * (CapacityTable[Type] = $C$28),Tableau2[]),1,6)</f>
        <v>0.65992079632563549</v>
      </c>
      <c r="M31" s="181" cm="1">
        <f t="array" ref="M31">INDEX(_xlfn._xlws.FILTER(CapacityTable[], (CapacityTable[Model] = $B$10) * (CapacityTable[T ext] = $D31) * (CapacityTable[T water out] = $K$8) * (CapacityTable[Type] = $C$28),Tableau2[]),1,7)</f>
        <v>2.3272184666800002</v>
      </c>
      <c r="N31" s="93" cm="1">
        <f t="array" ref="N31">INDEX(_xlfn._xlws.FILTER(CapacityTable[], (CapacityTable[Model] = $B$10) * (CapacityTable[T ext] = $D31) * (CapacityTable[T water out] = $N$8) * (CapacityTable[Type] = $C$28),Tableau2[]),1,5)</f>
        <v>1.5214135439674001</v>
      </c>
      <c r="O31" s="104" cm="1">
        <f t="array" ref="O31">INDEX(_xlfn._xlws.FILTER(CapacityTable[], (CapacityTable[Model] = $B$10) * (CapacityTable[T ext] = $D31) * (CapacityTable[T water out] = $N$8) * (CapacityTable[Type] = $C$28),Tableau2[]),1,6)</f>
        <v>0.71575563329918912</v>
      </c>
      <c r="P31" s="99" cm="1">
        <f t="array" ref="P31">INDEX(_xlfn._xlws.FILTER(CapacityTable[], (CapacityTable[Model] = $B$10) * (CapacityTable[T ext] = $D31) * (CapacityTable[T water out] = $N$8) * (CapacityTable[Type] = $C$28),Tableau2[]),1,7)</f>
        <v>2.12560470806863</v>
      </c>
      <c r="Q31" s="93" cm="1">
        <f t="array" ref="Q31">INDEX(_xlfn._xlws.FILTER(CapacityTable[], (CapacityTable[Model] = $B$10) * (CapacityTable[T ext] = $D31) * (CapacityTable[T water out] = $Q$8) * (CapacityTable[Type] = $C$28),Tableau2[]),1,5)</f>
        <v>1.5122565331493099</v>
      </c>
      <c r="R31" s="104" cm="1">
        <f t="array" ref="R31">INDEX(_xlfn._xlws.FILTER(CapacityTable[], (CapacityTable[Model] = $B$10) * (CapacityTable[T ext] = $D31) * (CapacityTable[T water out] = $Q$8) * (CapacityTable[Type] = $C$28),Tableau2[]),1,6)</f>
        <v>0.7755181881211417</v>
      </c>
      <c r="S31" s="99" cm="1">
        <f t="array" ref="S31">INDEX(_xlfn._xlws.FILTER(CapacityTable[], (CapacityTable[Model] = $B$10) * (CapacityTable[T ext] = $D31) * (CapacityTable[T water out] = $Q$8) * (CapacityTable[Type] = $C$28),Tableau2[]),1,7)</f>
        <v>1.9499949276664601</v>
      </c>
      <c r="T31" s="93" cm="1">
        <f t="array" ref="T31">INDEX(_xlfn._xlws.FILTER(CapacityTable[], (CapacityTable[Model] = $B$10) * (CapacityTable[T ext] = $D31) * (CapacityTable[T water out] = $T$8) * (CapacityTable[Type] = $C$28),Tableau2[]),1,5)</f>
        <v>1.5047779309781499</v>
      </c>
      <c r="U31" s="104" cm="1">
        <f t="array" ref="U31">INDEX(_xlfn._xlws.FILTER(CapacityTable[], (CapacityTable[Model] = $B$10) * (CapacityTable[T ext] = $D31) * (CapacityTable[T water out] = $T$8) * (CapacityTable[Type] = $C$28),Tableau2[]),1,6)</f>
        <v>0.84188218985618124</v>
      </c>
      <c r="V31" s="99" cm="1">
        <f t="array" ref="V31">INDEX(_xlfn._xlws.FILTER(CapacityTable[], (CapacityTable[Model] = $B$10) * (CapacityTable[T ext] = $D31) * (CapacityTable[T water out] = $T$8) * (CapacityTable[Type] = $C$28),Tableau2[]),1,7)</f>
        <v>1.7873972737625099</v>
      </c>
      <c r="W31" s="93" cm="1">
        <f t="array" ref="W31">INDEX(_xlfn._xlws.FILTER(CapacityTable[], (CapacityTable[Model] = $B$10) * (CapacityTable[T ext] = $D31) * (CapacityTable[T water out] = $W$8) * (CapacityTable[Type] = $C$28),Tableau2[]),1,5)</f>
        <v>1.4969087876879801</v>
      </c>
      <c r="X31" s="104" cm="1">
        <f t="array" ref="X31">INDEX(_xlfn._xlws.FILTER(CapacityTable[], (CapacityTable[Model] = $B$10) * (CapacityTable[T ext] = $D31) * (CapacityTable[T water out] = $W$8) * (CapacityTable[Type] = $C$28),Tableau2[]),1,6)</f>
        <v>0.9173317873578124</v>
      </c>
      <c r="Y31" s="99" cm="1">
        <f t="array" ref="Y31">INDEX(_xlfn._xlws.FILTER(CapacityTable[], (CapacityTable[Model] = $B$10) * (CapacityTable[T ext] = $D31) * (CapacityTable[T water out] = $W$8) * (CapacityTable[Type] = $C$28),Tableau2[]),1,7)</f>
        <v>1.6318073878149599</v>
      </c>
      <c r="Z31" s="93" cm="1">
        <f t="array" ref="Z31">INDEX(_xlfn._xlws.FILTER(CapacityTable[], (CapacityTable[Model] = $B$10) * (CapacityTable[T ext] = $D31) * (CapacityTable[T water out] = $Z$8) * (CapacityTable[Type] = $C$28),Tableau2[]),1,5)</f>
        <v>1.6794245014407501</v>
      </c>
      <c r="AA31" s="104" cm="1">
        <f t="array" ref="AA31">INDEX(_xlfn._xlws.FILTER(CapacityTable[], (CapacityTable[Model] = $B$10) * (CapacityTable[T ext] = $D31) * (CapacityTable[T water out] = $Z$8) * (CapacityTable[Type] = $C$28),Tableau2[]),1,6)</f>
        <v>1.0984024938595831</v>
      </c>
      <c r="AB31" s="99" cm="1">
        <f t="array" ref="AB31">INDEX(_xlfn._xlws.FILTER(CapacityTable[], (CapacityTable[Model] = $B$10) * (CapacityTable[T ext] = $D31) * (CapacityTable[T water out] = $Z$8) * (CapacityTable[Type] = $C$28),Tableau2[]),1,7)</f>
        <v>1.52897003678457</v>
      </c>
      <c r="AC31" s="93" cm="1">
        <f t="array" ref="AC31">INDEX(_xlfn._xlws.FILTER(CapacityTable[], (CapacityTable[Model] = $B$10) * (CapacityTable[T ext] = $D31) * (CapacityTable[T water out] = $AC$8) * (CapacityTable[Type] = $C$28),Tableau2[]),1,5)</f>
        <v>1.8004289332054499</v>
      </c>
      <c r="AD31" s="104" cm="1">
        <f t="array" ref="AD31">INDEX(_xlfn._xlws.FILTER(CapacityTable[], (CapacityTable[Model] = $B$10) * (CapacityTable[T ext] = $D31) * (CapacityTable[T water out] = $AC$8) * (CapacityTable[Type] = $C$28),Tableau2[]),1,6)</f>
        <v>1.2843637657269964</v>
      </c>
      <c r="AE31" s="99" cm="1">
        <f t="array" ref="AE31">INDEX(_xlfn._xlws.FILTER(CapacityTable[], (CapacityTable[Model] = $B$10) * (CapacityTable[T ext] = $D31) * (CapacityTable[T water out] = $AC$8) * (CapacityTable[Type] = $C$28),Tableau2[]),1,7)</f>
        <v>1.4018060780361099</v>
      </c>
    </row>
    <row r="32" spans="1:31" x14ac:dyDescent="0.25">
      <c r="A32" s="31"/>
      <c r="B32" s="277"/>
      <c r="C32" s="279"/>
      <c r="D32" s="37">
        <v>2</v>
      </c>
      <c r="E32" s="180" cm="1">
        <f t="array" ref="E32">INDEX(_xlfn._xlws.FILTER(CapacityTable[], (CapacityTable[Model] = $B$10) * (CapacityTable[T ext] = $D32) * (CapacityTable[T water out] = $E$8) * (CapacityTable[Type] = $C$28),Tableau2[]),1,5)</f>
        <v>1.6553527679954301</v>
      </c>
      <c r="F32" s="104" cm="1">
        <f t="array" ref="F32">INDEX(_xlfn._xlws.FILTER(CapacityTable[], (CapacityTable[Model] = $B$10) * (CapacityTable[T ext] = $D32) * (CapacityTable[T water out] = $E$8) * (CapacityTable[Type] = $C$28),Tableau2[]),1,6)</f>
        <v>0.39448197520744371</v>
      </c>
      <c r="G32" s="181" cm="1">
        <f t="array" ref="G32">INDEX(_xlfn._xlws.FILTER(CapacityTable[], (CapacityTable[Model] = $B$10) * (CapacityTable[T ext] = $D32) * (CapacityTable[T water out] = $E$8) * (CapacityTable[Type] = $C$28),Tableau2[]),1,7)</f>
        <v>4.1962697208787301</v>
      </c>
      <c r="H32" s="93" cm="1">
        <f t="array" ref="H32">INDEX(_xlfn._xlws.FILTER(CapacityTable[], (CapacityTable[Model] = $B$10) * (CapacityTable[T ext] = $D32) * (CapacityTable[T water out] = $H$8) * (CapacityTable[Type] = $C$28),Tableau2[]),1,5)</f>
        <v>1.5568396275471099</v>
      </c>
      <c r="I32" s="96" cm="1">
        <f t="array" ref="I32">INDEX(_xlfn._xlws.FILTER(CapacityTable[], (CapacityTable[Model] = $B$10) * (CapacityTable[T ext] = $D32) * (CapacityTable[T water out] = $H$8) * (CapacityTable[Type] = $C$28),Tableau2[]),1,6)</f>
        <v>0.50396463204368325</v>
      </c>
      <c r="J32" s="108" cm="1">
        <f t="array" ref="J32">INDEX(_xlfn._xlws.FILTER(CapacityTable[], (CapacityTable[Model] = $B$10) * (CapacityTable[T ext] = $D32) * (CapacityTable[T water out] = $H$8) * (CapacityTable[Type] = $C$28),Tableau2[]),1,7)</f>
        <v>3.0891842969888499</v>
      </c>
      <c r="K32" s="180" cm="1">
        <f t="array" ref="K32">INDEX(_xlfn._xlws.FILTER(CapacityTable[], (CapacityTable[Model] = $B$10) * (CapacityTable[T ext] = $D32) * (CapacityTable[T water out] = $K$8) * (CapacityTable[Type] = $C$28),Tableau2[]),1,5)</f>
        <v>1.5338176721532299</v>
      </c>
      <c r="L32" s="104" cm="1">
        <f t="array" ref="L32">INDEX(_xlfn._xlws.FILTER(CapacityTable[], (CapacityTable[Model] = $B$10) * (CapacityTable[T ext] = $D32) * (CapacityTable[T water out] = $K$8) * (CapacityTable[Type] = $C$28),Tableau2[]),1,6)</f>
        <v>0.55495890866083675</v>
      </c>
      <c r="M32" s="181" cm="1">
        <f t="array" ref="M32">INDEX(_xlfn._xlws.FILTER(CapacityTable[], (CapacityTable[Model] = $B$10) * (CapacityTable[T ext] = $D32) * (CapacityTable[T water out] = $K$8) * (CapacityTable[Type] = $C$28),Tableau2[]),1,7)</f>
        <v>2.7638400757534698</v>
      </c>
      <c r="N32" s="93" cm="1">
        <f t="array" ref="N32">INDEX(_xlfn._xlws.FILTER(CapacityTable[], (CapacityTable[Model] = $B$10) * (CapacityTable[T ext] = $D32) * (CapacityTable[T water out] = $N$8) * (CapacityTable[Type] = $C$28),Tableau2[]),1,5)</f>
        <v>1.5213262126009499</v>
      </c>
      <c r="O32" s="104" cm="1">
        <f t="array" ref="O32">INDEX(_xlfn._xlws.FILTER(CapacityTable[], (CapacityTable[Model] = $B$10) * (CapacityTable[T ext] = $D32) * (CapacityTable[T water out] = $N$8) * (CapacityTable[Type] = $C$28),Tableau2[]),1,6)</f>
        <v>0.60727861841357722</v>
      </c>
      <c r="P32" s="99" cm="1">
        <f t="array" ref="P32">INDEX(_xlfn._xlws.FILTER(CapacityTable[], (CapacityTable[Model] = $B$10) * (CapacityTable[T ext] = $D32) * (CapacityTable[T water out] = $N$8) * (CapacityTable[Type] = $C$28),Tableau2[]),1,7)</f>
        <v>2.5051535925555601</v>
      </c>
      <c r="Q32" s="93" cm="1">
        <f t="array" ref="Q32">INDEX(_xlfn._xlws.FILTER(CapacityTable[], (CapacityTable[Model] = $B$10) * (CapacityTable[T ext] = $D32) * (CapacityTable[T water out] = $Q$8) * (CapacityTable[Type] = $C$28),Tableau2[]),1,5)</f>
        <v>1.5152818471168601</v>
      </c>
      <c r="R32" s="104" cm="1">
        <f t="array" ref="R32">INDEX(_xlfn._xlws.FILTER(CapacityTable[], (CapacityTable[Model] = $B$10) * (CapacityTable[T ext] = $D32) * (CapacityTable[T water out] = $Q$8) * (CapacityTable[Type] = $C$28),Tableau2[]),1,6)</f>
        <v>0.66380779961563152</v>
      </c>
      <c r="S32" s="99" cm="1">
        <f t="array" ref="S32">INDEX(_xlfn._xlws.FILTER(CapacityTable[], (CapacityTable[Model] = $B$10) * (CapacityTable[T ext] = $D32) * (CapacityTable[T water out] = $Q$8) * (CapacityTable[Type] = $C$28),Tableau2[]),1,7)</f>
        <v>2.2827117246803401</v>
      </c>
      <c r="T32" s="93" cm="1">
        <f t="array" ref="T32">INDEX(_xlfn._xlws.FILTER(CapacityTable[], (CapacityTable[Model] = $B$10) * (CapacityTable[T ext] = $D32) * (CapacityTable[T water out] = $T$8) * (CapacityTable[Type] = $C$28),Tableau2[]),1,5)</f>
        <v>1.51260840509883</v>
      </c>
      <c r="U32" s="104" cm="1">
        <f t="array" ref="U32">INDEX(_xlfn._xlws.FILTER(CapacityTable[], (CapacityTable[Model] = $B$10) * (CapacityTable[T ext] = $D32) * (CapacityTable[T water out] = $T$8) * (CapacityTable[Type] = $C$28),Tableau2[]),1,6)</f>
        <v>0.72735950624137002</v>
      </c>
      <c r="V32" s="99" cm="1">
        <f t="array" ref="V32">INDEX(_xlfn._xlws.FILTER(CapacityTable[], (CapacityTable[Model] = $B$10) * (CapacityTable[T ext] = $D32) * (CapacityTable[T water out] = $T$8) * (CapacityTable[Type] = $C$28),Tableau2[]),1,7)</f>
        <v>2.0795884182709501</v>
      </c>
      <c r="W32" s="93" cm="1">
        <f t="array" ref="W32">INDEX(_xlfn._xlws.FILTER(CapacityTable[], (CapacityTable[Model] = $B$10) * (CapacityTable[T ext] = $D32) * (CapacityTable[T water out] = $W$8) * (CapacityTable[Type] = $C$28),Tableau2[]),1,5)</f>
        <v>1.7259856096787101</v>
      </c>
      <c r="X32" s="104" cm="1">
        <f t="array" ref="X32">INDEX(_xlfn._xlws.FILTER(CapacityTable[], (CapacityTable[Model] = $B$10) * (CapacityTable[T ext] = $D32) * (CapacityTable[T water out] = $W$8) * (CapacityTable[Type] = $C$28),Tableau2[]),1,6)</f>
        <v>0.87575680391783728</v>
      </c>
      <c r="Y32" s="99" cm="1">
        <f t="array" ref="Y32">INDEX(_xlfn._xlws.FILTER(CapacityTable[], (CapacityTable[Model] = $B$10) * (CapacityTable[T ext] = $D32) * (CapacityTable[T water out] = $W$8) * (CapacityTable[Type] = $C$28),Tableau2[]),1,7)</f>
        <v>1.97085035703661</v>
      </c>
      <c r="Z32" s="93" cm="1">
        <f t="array" ref="Z32">INDEX(_xlfn._xlws.FILTER(CapacityTable[], (CapacityTable[Model] = $B$10) * (CapacityTable[T ext] = $D32) * (CapacityTable[T water out] = $Z$8) * (CapacityTable[Type] = $C$28),Tableau2[]),1,5)</f>
        <v>2.1828162755833098</v>
      </c>
      <c r="AA32" s="104" cm="1">
        <f t="array" ref="AA32">INDEX(_xlfn._xlws.FILTER(CapacityTable[], (CapacityTable[Model] = $B$10) * (CapacityTable[T ext] = $D32) * (CapacityTable[T water out] = $Z$8) * (CapacityTable[Type] = $C$28),Tableau2[]),1,6)</f>
        <v>1.1481345867276649</v>
      </c>
      <c r="AB32" s="99" cm="1">
        <f t="array" ref="AB32">INDEX(_xlfn._xlws.FILTER(CapacityTable[], (CapacityTable[Model] = $B$10) * (CapacityTable[T ext] = $D32) * (CapacityTable[T water out] = $Z$8) * (CapacityTable[Type] = $C$28),Tableau2[]),1,7)</f>
        <v>1.9011850185653101</v>
      </c>
      <c r="AC32" s="93" cm="1">
        <f t="array" ref="AC32">INDEX(_xlfn._xlws.FILTER(CapacityTable[], (CapacityTable[Model] = $B$10) * (CapacityTable[T ext] = $D32) * (CapacityTable[T water out] = $AC$8) * (CapacityTable[Type] = $C$28),Tableau2[]),1,5)</f>
        <v>2.34371790679447</v>
      </c>
      <c r="AD32" s="104" cm="1">
        <f t="array" ref="AD32">INDEX(_xlfn._xlws.FILTER(CapacityTable[], (CapacityTable[Model] = $B$10) * (CapacityTable[T ext] = $D32) * (CapacityTable[T water out] = $AC$8) * (CapacityTable[Type] = $C$28),Tableau2[]),1,6)</f>
        <v>1.3514094261452543</v>
      </c>
      <c r="AE32" s="99" cm="1">
        <f t="array" ref="AE32">INDEX(_xlfn._xlws.FILTER(CapacityTable[], (CapacityTable[Model] = $B$10) * (CapacityTable[T ext] = $D32) * (CapacityTable[T water out] = $AC$8) * (CapacityTable[Type] = $C$28),Tableau2[]),1,7)</f>
        <v>1.7342767198832301</v>
      </c>
    </row>
    <row r="33" spans="1:31" x14ac:dyDescent="0.25">
      <c r="A33" s="31"/>
      <c r="B33" s="277"/>
      <c r="C33" s="280"/>
      <c r="D33" s="38">
        <v>7</v>
      </c>
      <c r="E33" s="86" cm="1">
        <f t="array" ref="E33">INDEX(_xlfn._xlws.FILTER(CapacityTable[], (CapacityTable[Model] = $B$10) * (CapacityTable[T ext] = $D33) * (CapacityTable[T water out] = $E$8) * (CapacityTable[Type] = $C$28),Tableau2[]),1,5)</f>
        <v>1.75835207063911</v>
      </c>
      <c r="F33" s="77" cm="1">
        <f t="array" ref="F33">INDEX(_xlfn._xlws.FILTER(CapacityTable[], (CapacityTable[Model] = $B$10) * (CapacityTable[T ext] = $D33) * (CapacityTable[T water out] = $E$8) * (CapacityTable[Type] = $C$28),Tableau2[]),1,6)</f>
        <v>0.32183784696036349</v>
      </c>
      <c r="G33" s="87" cm="1">
        <f t="array" ref="G33">INDEX(_xlfn._xlws.FILTER(CapacityTable[], (CapacityTable[Model] = $B$10) * (CapacityTable[T ext] = $D33) * (CapacityTable[T water out] = $E$8) * (CapacityTable[Type] = $C$28),Tableau2[]),1,7)</f>
        <v>5.4634720162531503</v>
      </c>
      <c r="H33" s="75" cm="1">
        <f t="array" ref="H33">INDEX(_xlfn._xlws.FILTER(CapacityTable[], (CapacityTable[Model] = $B$10) * (CapacityTable[T ext] = $D33) * (CapacityTable[T water out] = $H$8) * (CapacityTable[Type] = $C$28),Tableau2[]),1,5)</f>
        <v>1.6514102937063602</v>
      </c>
      <c r="I33" s="97" cm="1">
        <f t="array" ref="I33">INDEX(_xlfn._xlws.FILTER(CapacityTable[], (CapacityTable[Model] = $B$10) * (CapacityTable[T ext] = $D33) * (CapacityTable[T water out] = $H$8) * (CapacityTable[Type] = $C$28),Tableau2[]),1,6)</f>
        <v>0.42669982787598143</v>
      </c>
      <c r="J33" s="109" cm="1">
        <f t="array" ref="J33">INDEX(_xlfn._xlws.FILTER(CapacityTable[], (CapacityTable[Model] = $B$10) * (CapacityTable[T ext] = $D33) * (CapacityTable[T water out] = $H$8) * (CapacityTable[Type] = $C$28),Tableau2[]),1,7)</f>
        <v>3.8701920784142798</v>
      </c>
      <c r="K33" s="86" cm="1">
        <f t="array" ref="K33">INDEX(_xlfn._xlws.FILTER(CapacityTable[], (CapacityTable[Model] = $B$10) * (CapacityTable[T ext] = $D33) * (CapacityTable[T water out] = $K$8) * (CapacityTable[Type] = $C$28),Tableau2[]),1,5)</f>
        <v>1.6218514850452901</v>
      </c>
      <c r="L33" s="77" cm="1">
        <f t="array" ref="L33">INDEX(_xlfn._xlws.FILTER(CapacityTable[], (CapacityTable[Model] = $B$10) * (CapacityTable[T ext] = $D33) * (CapacityTable[T water out] = $K$8) * (CapacityTable[Type] = $C$28),Tableau2[]),1,6)</f>
        <v>0.4757450202116108</v>
      </c>
      <c r="M33" s="87" cm="1">
        <f t="array" ref="M33">INDEX(_xlfn._xlws.FILTER(CapacityTable[], (CapacityTable[Model] = $B$10) * (CapacityTable[T ext] = $D33) * (CapacityTable[T water out] = $K$8) * (CapacityTable[Type] = $C$28),Tableau2[]),1,7)</f>
        <v>3.4090771655873402</v>
      </c>
      <c r="N33" s="75" cm="1">
        <f t="array" ref="N33">INDEX(_xlfn._xlws.FILTER(CapacityTable[], (CapacityTable[Model] = $B$10) * (CapacityTable[T ext] = $D33) * (CapacityTable[T water out] = $N$8) * (CapacityTable[Type] = $C$28),Tableau2[]),1,5)</f>
        <v>1.6017153588717199</v>
      </c>
      <c r="O33" s="77" cm="1">
        <f t="array" ref="O33">INDEX(_xlfn._xlws.FILTER(CapacityTable[], (CapacityTable[Model] = $B$10) * (CapacityTable[T ext] = $D33) * (CapacityTable[T water out] = $N$8) * (CapacityTable[Type] = $C$28),Tableau2[]),1,6)</f>
        <v>0.52608141944403919</v>
      </c>
      <c r="P33" s="78" cm="1">
        <f t="array" ref="P33">INDEX(_xlfn._xlws.FILTER(CapacityTable[], (CapacityTable[Model] = $B$10) * (CapacityTable[T ext] = $D33) * (CapacityTable[T water out] = $N$8) * (CapacityTable[Type] = $C$28),Tableau2[]),1,7)</f>
        <v>3.04461495820249</v>
      </c>
      <c r="Q33" s="75" cm="1">
        <f t="array" ref="Q33">INDEX(_xlfn._xlws.FILTER(CapacityTable[], (CapacityTable[Model] = $B$10) * (CapacityTable[T ext] = $D33) * (CapacityTable[T water out] = $Q$8) * (CapacityTable[Type] = $C$28),Tableau2[]),1,5)</f>
        <v>1.5871407848149699</v>
      </c>
      <c r="R33" s="77" cm="1">
        <f t="array" ref="R33">INDEX(_xlfn._xlws.FILTER(CapacityTable[], (CapacityTable[Model] = $B$10) * (CapacityTable[T ext] = $D33) * (CapacityTable[T water out] = $Q$8) * (CapacityTable[Type] = $C$28),Tableau2[]),1,6)</f>
        <v>0.58037803788302877</v>
      </c>
      <c r="S33" s="78" cm="1">
        <f t="array" ref="S33">INDEX(_xlfn._xlws.FILTER(CapacityTable[], (CapacityTable[Model] = $B$10) * (CapacityTable[T ext] = $D33) * (CapacityTable[T water out] = $Q$8) * (CapacityTable[Type] = $C$28),Tableau2[]),1,7)</f>
        <v>2.7346672017503999</v>
      </c>
      <c r="T33" s="75" cm="1">
        <f t="array" ref="T33">INDEX(_xlfn._xlws.FILTER(CapacityTable[], (CapacityTable[Model] = $B$10) * (CapacityTable[T ext] = $D33) * (CapacityTable[T water out] = $T$8) * (CapacityTable[Type] = $C$28),Tableau2[]),1,5)</f>
        <v>1.5752541650435801</v>
      </c>
      <c r="U33" s="77" cm="1">
        <f t="array" ref="U33">INDEX(_xlfn._xlws.FILTER(CapacityTable[], (CapacityTable[Model] = $B$10) * (CapacityTable[T ext] = $D33) * (CapacityTable[T water out] = $T$8) * (CapacityTable[Type] = $C$28),Tableau2[]),1,6)</f>
        <v>0.64124378370441637</v>
      </c>
      <c r="V33" s="78" cm="1">
        <f t="array" ref="V33">INDEX(_xlfn._xlws.FILTER(CapacityTable[], (CapacityTable[Model] = $B$10) * (CapacityTable[T ext] = $D33) * (CapacityTable[T water out] = $T$8) * (CapacityTable[Type] = $C$28),Tableau2[]),1,7)</f>
        <v>2.4565605235866101</v>
      </c>
      <c r="W33" s="75" cm="1">
        <f t="array" ref="W33">INDEX(_xlfn._xlws.FILTER(CapacityTable[], (CapacityTable[Model] = $B$10) * (CapacityTable[T ext] = $D33) * (CapacityTable[T water out] = $W$8) * (CapacityTable[Type] = $C$28),Tableau2[]),1,5)</f>
        <v>1.9598288319831398</v>
      </c>
      <c r="X33" s="77" cm="1">
        <f t="array" ref="X33">INDEX(_xlfn._xlws.FILTER(CapacityTable[], (CapacityTable[Model] = $B$10) * (CapacityTable[T ext] = $D33) * (CapacityTable[T water out] = $W$8) * (CapacityTable[Type] = $C$28),Tableau2[]),1,6)</f>
        <v>0.84396639009947538</v>
      </c>
      <c r="Y33" s="78" cm="1">
        <f t="array" ref="Y33">INDEX(_xlfn._xlws.FILTER(CapacityTable[], (CapacityTable[Model] = $B$10) * (CapacityTable[T ext] = $D33) * (CapacityTable[T water out] = $W$8) * (CapacityTable[Type] = $C$28),Tableau2[]),1,7)</f>
        <v>2.3221645494107199</v>
      </c>
      <c r="Z33" s="75" cm="1">
        <f t="array" ref="Z33">INDEX(_xlfn._xlws.FILTER(CapacityTable[], (CapacityTable[Model] = $B$10) * (CapacityTable[T ext] = $D33) * (CapacityTable[T water out] = $Z$8) * (CapacityTable[Type] = $C$28),Tableau2[]),1,5)</f>
        <v>2.48890387903114</v>
      </c>
      <c r="AA33" s="77" cm="1">
        <f t="array" ref="AA33">INDEX(_xlfn._xlws.FILTER(CapacityTable[], (CapacityTable[Model] = $B$10) * (CapacityTable[T ext] = $D33) * (CapacityTable[T water out] = $Z$8) * (CapacityTable[Type] = $C$28),Tableau2[]),1,6)</f>
        <v>1.1294957521487015</v>
      </c>
      <c r="AB33" s="78" cm="1">
        <f t="array" ref="AB33">INDEX(_xlfn._xlws.FILTER(CapacityTable[], (CapacityTable[Model] = $B$10) * (CapacityTable[T ext] = $D33) * (CapacityTable[T water out] = $Z$8) * (CapacityTable[Type] = $C$28),Tableau2[]),1,7)</f>
        <v>2.2035531114626701</v>
      </c>
      <c r="AC33" s="75" cm="1">
        <f t="array" ref="AC33">INDEX(_xlfn._xlws.FILTER(CapacityTable[], (CapacityTable[Model] = $B$10) * (CapacityTable[T ext] = $D33) * (CapacityTable[T water out] = $AC$8) * (CapacityTable[Type] = $C$28),Tableau2[]),1,5)</f>
        <v>2.6721840429097701</v>
      </c>
      <c r="AD33" s="77" cm="1">
        <f t="array" ref="AD33">INDEX(_xlfn._xlws.FILTER(CapacityTable[], (CapacityTable[Model] = $B$10) * (CapacityTable[T ext] = $D33) * (CapacityTable[T water out] = $AC$8) * (CapacityTable[Type] = $C$28),Tableau2[]),1,6)</f>
        <v>1.3420665830986243</v>
      </c>
      <c r="AE33" s="78" cm="1">
        <f t="array" ref="AE33">INDEX(_xlfn._xlws.FILTER(CapacityTable[], (CapacityTable[Model] = $B$10) * (CapacityTable[T ext] = $D33) * (CapacityTable[T water out] = $AC$8) * (CapacityTable[Type] = $C$28),Tableau2[]),1,7)</f>
        <v>1.99109647506468</v>
      </c>
    </row>
    <row r="34" spans="1:31" x14ac:dyDescent="0.25">
      <c r="A34" s="31"/>
      <c r="B34" s="277"/>
      <c r="C34" s="280"/>
      <c r="D34" s="38">
        <v>12</v>
      </c>
      <c r="E34" s="86" cm="1">
        <f t="array" ref="E34">INDEX(_xlfn._xlws.FILTER(CapacityTable[], (CapacityTable[Model] = $B$10) * (CapacityTable[T ext] = $D34) * (CapacityTable[T water out] = $E$8) * (CapacityTable[Type] = $C$28),Tableau2[]),1,5)</f>
        <v>2.0480845655905502</v>
      </c>
      <c r="F34" s="77" cm="1">
        <f t="array" ref="F34">INDEX(_xlfn._xlws.FILTER(CapacityTable[], (CapacityTable[Model] = $B$10) * (CapacityTable[T ext] = $D34) * (CapacityTable[T water out] = $E$8) * (CapacityTable[Type] = $C$28),Tableau2[]),1,6)</f>
        <v>0.27948729824766683</v>
      </c>
      <c r="G34" s="87" cm="1">
        <f t="array" ref="G34">INDEX(_xlfn._xlws.FILTER(CapacityTable[], (CapacityTable[Model] = $B$10) * (CapacityTable[T ext] = $D34) * (CapacityTable[T water out] = $E$8) * (CapacityTable[Type] = $C$28),Tableau2[]),1,7)</f>
        <v>7.3280058823125698</v>
      </c>
      <c r="H34" s="75" cm="1">
        <f t="array" ref="H34">INDEX(_xlfn._xlws.FILTER(CapacityTable[], (CapacityTable[Model] = $B$10) * (CapacityTable[T ext] = $D34) * (CapacityTable[T water out] = $H$8) * (CapacityTable[Type] = $C$28),Tableau2[]),1,5)</f>
        <v>1.91590008949529</v>
      </c>
      <c r="I34" s="97" cm="1">
        <f t="array" ref="I34">INDEX(_xlfn._xlws.FILTER(CapacityTable[], (CapacityTable[Model] = $B$10) * (CapacityTable[T ext] = $D34) * (CapacityTable[T water out] = $H$8) * (CapacityTable[Type] = $C$28),Tableau2[]),1,6)</f>
        <v>0.38791669692210062</v>
      </c>
      <c r="J34" s="109" cm="1">
        <f t="array" ref="J34">INDEX(_xlfn._xlws.FILTER(CapacityTable[], (CapacityTable[Model] = $B$10) * (CapacityTable[T ext] = $D34) * (CapacityTable[T water out] = $H$8) * (CapacityTable[Type] = $C$28),Tableau2[]),1,7)</f>
        <v>4.9389472139169897</v>
      </c>
      <c r="K34" s="86" cm="1">
        <f t="array" ref="K34">INDEX(_xlfn._xlws.FILTER(CapacityTable[], (CapacityTable[Model] = $B$10) * (CapacityTable[T ext] = $D34) * (CapacityTable[T water out] = $K$8) * (CapacityTable[Type] = $C$28),Tableau2[]),1,5)</f>
        <v>1.87377703416277</v>
      </c>
      <c r="L34" s="77" cm="1">
        <f t="array" ref="L34">INDEX(_xlfn._xlws.FILTER(CapacityTable[], (CapacityTable[Model] = $B$10) * (CapacityTable[T ext] = $D34) * (CapacityTable[T water out] = $K$8) * (CapacityTable[Type] = $C$28),Tableau2[]),1,6)</f>
        <v>0.43875038519382137</v>
      </c>
      <c r="M34" s="87" cm="1">
        <f t="array" ref="M34">INDEX(_xlfn._xlws.FILTER(CapacityTable[], (CapacityTable[Model] = $B$10) * (CapacityTable[T ext] = $D34) * (CapacityTable[T water out] = $K$8) * (CapacityTable[Type] = $C$28),Tableau2[]),1,7)</f>
        <v>4.27071313757369</v>
      </c>
      <c r="N34" s="75" cm="1">
        <f t="array" ref="N34">INDEX(_xlfn._xlws.FILTER(CapacityTable[], (CapacityTable[Model] = $B$10) * (CapacityTable[T ext] = $D34) * (CapacityTable[T water out] = $N$8) * (CapacityTable[Type] = $C$28),Tableau2[]),1,5)</f>
        <v>1.8410117991922701</v>
      </c>
      <c r="O34" s="77" cm="1">
        <f t="array" ref="O34">INDEX(_xlfn._xlws.FILTER(CapacityTable[], (CapacityTable[Model] = $B$10) * (CapacityTable[T ext] = $D34) * (CapacityTable[T water out] = $N$8) * (CapacityTable[Type] = $C$28),Tableau2[]),1,6)</f>
        <v>0.49091245681836049</v>
      </c>
      <c r="P34" s="78" cm="1">
        <f t="array" ref="P34">INDEX(_xlfn._xlws.FILTER(CapacityTable[], (CapacityTable[Model] = $B$10) * (CapacityTable[T ext] = $D34) * (CapacityTable[T water out] = $N$8) * (CapacityTable[Type] = $C$28),Tableau2[]),1,7)</f>
        <v>3.7501835075117098</v>
      </c>
      <c r="Q34" s="75" cm="1">
        <f t="array" ref="Q34">INDEX(_xlfn._xlws.FILTER(CapacityTable[], (CapacityTable[Model] = $B$10) * (CapacityTable[T ext] = $D34) * (CapacityTable[T water out] = $Q$8) * (CapacityTable[Type] = $C$28),Tableau2[]),1,5)</f>
        <v>1.8137056967834901</v>
      </c>
      <c r="R34" s="77" cm="1">
        <f t="array" ref="R34">INDEX(_xlfn._xlws.FILTER(CapacityTable[], (CapacityTable[Model] = $B$10) * (CapacityTable[T ext] = $D34) * (CapacityTable[T water out] = $Q$8) * (CapacityTable[Type] = $C$28),Tableau2[]),1,6)</f>
        <v>0.54706646370549961</v>
      </c>
      <c r="S34" s="78" cm="1">
        <f t="array" ref="S34">INDEX(_xlfn._xlws.FILTER(CapacityTable[], (CapacityTable[Model] = $B$10) * (CapacityTable[T ext] = $D34) * (CapacityTable[T water out] = $Q$8) * (CapacityTable[Type] = $C$28),Tableau2[]),1,7)</f>
        <v>3.3153297032659199</v>
      </c>
      <c r="T34" s="75" cm="1">
        <f t="array" ref="T34">INDEX(_xlfn._xlws.FILTER(CapacityTable[], (CapacityTable[Model] = $B$10) * (CapacityTable[T ext] = $D34) * (CapacityTable[T water out] = $T$8) * (CapacityTable[Type] = $C$28),Tableau2[]),1,5)</f>
        <v>1.9521034499167198</v>
      </c>
      <c r="U34" s="77" cm="1">
        <f t="array" ref="U34">INDEX(_xlfn._xlws.FILTER(CapacityTable[], (CapacityTable[Model] = $B$10) * (CapacityTable[T ext] = $D34) * (CapacityTable[T water out] = $T$8) * (CapacityTable[Type] = $C$28),Tableau2[]),1,6)</f>
        <v>0.65795087640588024</v>
      </c>
      <c r="V34" s="78" cm="1">
        <f t="array" ref="V34">INDEX(_xlfn._xlws.FILTER(CapacityTable[], (CapacityTable[Model] = $B$10) * (CapacityTable[T ext] = $D34) * (CapacityTable[T water out] = $T$8) * (CapacityTable[Type] = $C$28),Tableau2[]),1,7)</f>
        <v>2.9669440681958998</v>
      </c>
      <c r="W34" s="75" cm="1">
        <f t="array" ref="W34">INDEX(_xlfn._xlws.FILTER(CapacityTable[], (CapacityTable[Model] = $B$10) * (CapacityTable[T ext] = $D34) * (CapacityTable[T water out] = $W$8) * (CapacityTable[Type] = $C$28),Tableau2[]),1,5)</f>
        <v>2.2192375441160102</v>
      </c>
      <c r="X34" s="77" cm="1">
        <f t="array" ref="X34">INDEX(_xlfn._xlws.FILTER(CapacityTable[], (CapacityTable[Model] = $B$10) * (CapacityTable[T ext] = $D34) * (CapacityTable[T water out] = $W$8) * (CapacityTable[Type] = $C$28),Tableau2[]),1,6)</f>
        <v>0.81706537372821053</v>
      </c>
      <c r="Y34" s="78" cm="1">
        <f t="array" ref="Y34">INDEX(_xlfn._xlws.FILTER(CapacityTable[], (CapacityTable[Model] = $B$10) * (CapacityTable[T ext] = $D34) * (CapacityTable[T water out] = $W$8) * (CapacityTable[Type] = $C$28),Tableau2[]),1,7)</f>
        <v>2.71610768914339</v>
      </c>
      <c r="Z34" s="75" cm="1">
        <f t="array" ref="Z34">INDEX(_xlfn._xlws.FILTER(CapacityTable[], (CapacityTable[Model] = $B$10) * (CapacityTable[T ext] = $D34) * (CapacityTable[T water out] = $Z$8) * (CapacityTable[Type] = $C$28),Tableau2[]),1,5)</f>
        <v>2.8240215215776003</v>
      </c>
      <c r="AA34" s="77" cm="1">
        <f t="array" ref="AA34">INDEX(_xlfn._xlws.FILTER(CapacityTable[], (CapacityTable[Model] = $B$10) * (CapacityTable[T ext] = $D34) * (CapacityTable[T water out] = $Z$8) * (CapacityTable[Type] = $C$28),Tableau2[]),1,6)</f>
        <v>1.1117691912023644</v>
      </c>
      <c r="AB34" s="78" cm="1">
        <f t="array" ref="AB34">INDEX(_xlfn._xlws.FILTER(CapacityTable[], (CapacityTable[Model] = $B$10) * (CapacityTable[T ext] = $D34) * (CapacityTable[T water out] = $Z$8) * (CapacityTable[Type] = $C$28),Tableau2[]),1,7)</f>
        <v>2.5401149302612498</v>
      </c>
      <c r="AC34" s="75" cm="1">
        <f t="array" ref="AC34">INDEX(_xlfn._xlws.FILTER(CapacityTable[], (CapacityTable[Model] = $B$10) * (CapacityTable[T ext] = $D34) * (CapacityTable[T water out] = $AC$8) * (CapacityTable[Type] = $C$28),Tableau2[]),1,5)</f>
        <v>3.0291272398021003</v>
      </c>
      <c r="AD34" s="77" cm="1">
        <f t="array" ref="AD34">INDEX(_xlfn._xlws.FILTER(CapacityTable[], (CapacityTable[Model] = $B$10) * (CapacityTable[T ext] = $D34) * (CapacityTable[T water out] = $AC$8) * (CapacityTable[Type] = $C$28),Tableau2[]),1,6)</f>
        <v>1.3318690841095082</v>
      </c>
      <c r="AE34" s="78" cm="1">
        <f t="array" ref="AE34">INDEX(_xlfn._xlws.FILTER(CapacityTable[], (CapacityTable[Model] = $B$10) * (CapacityTable[T ext] = $D34) * (CapacityTable[T water out] = $AC$8) * (CapacityTable[Type] = $C$28),Tableau2[]),1,7)</f>
        <v>2.27434308367281</v>
      </c>
    </row>
    <row r="35" spans="1:31" x14ac:dyDescent="0.25">
      <c r="A35" s="31"/>
      <c r="B35" s="277"/>
      <c r="C35" s="280"/>
      <c r="D35" s="38">
        <v>15</v>
      </c>
      <c r="E35" s="86" cm="1">
        <f t="array" ref="E35">INDEX(_xlfn._xlws.FILTER(CapacityTable[], (CapacityTable[Model] = $B$10) * (CapacityTable[T ext] = $D35) * (CapacityTable[T water out] = $E$8) * (CapacityTable[Type] = $C$28),Tableau2[]),1,5)</f>
        <v>2.2490469930071799</v>
      </c>
      <c r="F35" s="77" cm="1">
        <f t="array" ref="F35">INDEX(_xlfn._xlws.FILTER(CapacityTable[], (CapacityTable[Model] = $B$10) * (CapacityTable[T ext] = $D35) * (CapacityTable[T water out] = $E$8) * (CapacityTable[Type] = $C$28),Tableau2[]),1,6)</f>
        <v>0.26299914980595041</v>
      </c>
      <c r="G35" s="87" cm="1">
        <f t="array" ref="G35">INDEX(_xlfn._xlws.FILTER(CapacityTable[], (CapacityTable[Model] = $B$10) * (CapacityTable[T ext] = $D35) * (CapacityTable[T water out] = $E$8) * (CapacityTable[Type] = $C$28),Tableau2[]),1,7)</f>
        <v>8.5515371234720803</v>
      </c>
      <c r="H35" s="75" cm="1">
        <f t="array" ref="H35">INDEX(_xlfn._xlws.FILTER(CapacityTable[], (CapacityTable[Model] = $B$10) * (CapacityTable[T ext] = $D35) * (CapacityTable[T water out] = $H$8) * (CapacityTable[Type] = $C$28),Tableau2[]),1,5)</f>
        <v>2.0972111107687703</v>
      </c>
      <c r="I35" s="97" cm="1">
        <f t="array" ref="I35">INDEX(_xlfn._xlws.FILTER(CapacityTable[], (CapacityTable[Model] = $B$10) * (CapacityTable[T ext] = $D35) * (CapacityTable[T water out] = $H$8) * (CapacityTable[Type] = $C$28),Tableau2[]),1,6)</f>
        <v>0.3735514418419984</v>
      </c>
      <c r="J35" s="109" cm="1">
        <f t="array" ref="J35">INDEX(_xlfn._xlws.FILTER(CapacityTable[], (CapacityTable[Model] = $B$10) * (CapacityTable[T ext] = $D35) * (CapacityTable[T water out] = $H$8) * (CapacityTable[Type] = $C$28),Tableau2[]),1,7)</f>
        <v>5.6142498083458898</v>
      </c>
      <c r="K35" s="86" cm="1">
        <f t="array" ref="K35">INDEX(_xlfn._xlws.FILTER(CapacityTable[], (CapacityTable[Model] = $B$10) * (CapacityTable[T ext] = $D35) * (CapacityTable[T water out] = $K$8) * (CapacityTable[Type] = $C$28),Tableau2[]),1,5)</f>
        <v>2.0454269362945499</v>
      </c>
      <c r="L35" s="77" cm="1">
        <f t="array" ref="L35">INDEX(_xlfn._xlws.FILTER(CapacityTable[], (CapacityTable[Model] = $B$10) * (CapacityTable[T ext] = $D35) * (CapacityTable[T water out] = $K$8) * (CapacityTable[Type] = $C$28),Tableau2[]),1,6)</f>
        <v>0.42545008417710434</v>
      </c>
      <c r="M35" s="87" cm="1">
        <f t="array" ref="M35">INDEX(_xlfn._xlws.FILTER(CapacityTable[], (CapacityTable[Model] = $B$10) * (CapacityTable[T ext] = $D35) * (CapacityTable[T water out] = $K$8) * (CapacityTable[Type] = $C$28),Tableau2[]),1,7)</f>
        <v>4.8076778272374003</v>
      </c>
      <c r="N35" s="75" cm="1">
        <f t="array" ref="N35">INDEX(_xlfn._xlws.FILTER(CapacityTable[], (CapacityTable[Model] = $B$10) * (CapacityTable[T ext] = $D35) * (CapacityTable[T water out] = $N$8) * (CapacityTable[Type] = $C$28),Tableau2[]),1,5)</f>
        <v>2.0030497027897201</v>
      </c>
      <c r="O35" s="77" cm="1">
        <f t="array" ref="O35">INDEX(_xlfn._xlws.FILTER(CapacityTable[], (CapacityTable[Model] = $B$10) * (CapacityTable[T ext] = $D35) * (CapacityTable[T water out] = $N$8) * (CapacityTable[Type] = $C$28),Tableau2[]),1,6)</f>
        <v>0.47868533233642258</v>
      </c>
      <c r="P35" s="78" cm="1">
        <f t="array" ref="P35">INDEX(_xlfn._xlws.FILTER(CapacityTable[], (CapacityTable[Model] = $B$10) * (CapacityTable[T ext] = $D35) * (CapacityTable[T water out] = $N$8) * (CapacityTable[Type] = $C$28),Tableau2[]),1,7)</f>
        <v>4.1844810514936901</v>
      </c>
      <c r="Q35" s="75" cm="1">
        <f t="array" ref="Q35">INDEX(_xlfn._xlws.FILTER(CapacityTable[], (CapacityTable[Model] = $B$10) * (CapacityTable[T ext] = $D35) * (CapacityTable[T water out] = $Q$8) * (CapacityTable[Type] = $C$28),Tableau2[]),1,5)</f>
        <v>1.9661357051900299</v>
      </c>
      <c r="R35" s="77" cm="1">
        <f t="array" ref="R35">INDEX(_xlfn._xlws.FILTER(CapacityTable[], (CapacityTable[Model] = $B$10) * (CapacityTable[T ext] = $D35) * (CapacityTable[T water out] = $Q$8) * (CapacityTable[Type] = $C$28),Tableau2[]),1,6)</f>
        <v>0.53594499445786181</v>
      </c>
      <c r="S35" s="78" cm="1">
        <f t="array" ref="S35">INDEX(_xlfn._xlws.FILTER(CapacityTable[], (CapacityTable[Model] = $B$10) * (CapacityTable[T ext] = $D35) * (CapacityTable[T water out] = $Q$8) * (CapacityTable[Type] = $C$28),Tableau2[]),1,7)</f>
        <v>3.6685401030359199</v>
      </c>
      <c r="T35" s="75" cm="1">
        <f t="array" ref="T35">INDEX(_xlfn._xlws.FILTER(CapacityTable[], (CapacityTable[Model] = $B$10) * (CapacityTable[T ext] = $D35) * (CapacityTable[T water out] = $T$8) * (CapacityTable[Type] = $C$28),Tableau2[]),1,5)</f>
        <v>2.10760296408121</v>
      </c>
      <c r="U35" s="77" cm="1">
        <f t="array" ref="U35">INDEX(_xlfn._xlws.FILTER(CapacityTable[], (CapacityTable[Model] = $B$10) * (CapacityTable[T ext] = $D35) * (CapacityTable[T water out] = $T$8) * (CapacityTable[Type] = $C$28),Tableau2[]),1,6)</f>
        <v>0.64776587346491854</v>
      </c>
      <c r="V35" s="78" cm="1">
        <f t="array" ref="V35">INDEX(_xlfn._xlws.FILTER(CapacityTable[], (CapacityTable[Model] = $B$10) * (CapacityTable[T ext] = $D35) * (CapacityTable[T water out] = $T$8) * (CapacityTable[Type] = $C$28),Tableau2[]),1,7)</f>
        <v>3.2536492742471599</v>
      </c>
      <c r="W35" s="75" cm="1">
        <f t="array" ref="W35">INDEX(_xlfn._xlws.FILTER(CapacityTable[], (CapacityTable[Model] = $B$10) * (CapacityTable[T ext] = $D35) * (CapacityTable[T water out] = $W$8) * (CapacityTable[Type] = $C$28),Tableau2[]),1,5)</f>
        <v>2.3904356763107697</v>
      </c>
      <c r="X35" s="77" cm="1">
        <f t="array" ref="X35">INDEX(_xlfn._xlws.FILTER(CapacityTable[], (CapacityTable[Model] = $B$10) * (CapacityTable[T ext] = $D35) * (CapacityTable[T water out] = $W$8) * (CapacityTable[Type] = $C$28),Tableau2[]),1,6)</f>
        <v>0.80927208510263249</v>
      </c>
      <c r="Y35" s="78" cm="1">
        <f t="array" ref="Y35">INDEX(_xlfn._xlws.FILTER(CapacityTable[], (CapacityTable[Model] = $B$10) * (CapacityTable[T ext] = $D35) * (CapacityTable[T water out] = $W$8) * (CapacityTable[Type] = $C$28),Tableau2[]),1,7)</f>
        <v>2.9538096275835501</v>
      </c>
      <c r="Z35" s="75" cm="1">
        <f t="array" ref="Z35">INDEX(_xlfn._xlws.FILTER(CapacityTable[], (CapacityTable[Model] = $B$10) * (CapacityTable[T ext] = $D35) * (CapacityTable[T water out] = $Z$8) * (CapacityTable[Type] = $C$28),Tableau2[]),1,5)</f>
        <v>3.3735245381499199</v>
      </c>
      <c r="AA35" s="77" cm="1">
        <f t="array" ref="AA35">INDEX(_xlfn._xlws.FILTER(CapacityTable[], (CapacityTable[Model] = $B$10) * (CapacityTable[T ext] = $D35) * (CapacityTable[T water out] = $Z$8) * (CapacityTable[Type] = $C$28),Tableau2[]),1,6)</f>
        <v>1.2058855431859199</v>
      </c>
      <c r="AB35" s="78" cm="1">
        <f t="array" ref="AB35">INDEX(_xlfn._xlws.FILTER(CapacityTable[], (CapacityTable[Model] = $B$10) * (CapacityTable[T ext] = $D35) * (CapacityTable[T water out] = $Z$8) * (CapacityTable[Type] = $C$28),Tableau2[]),1,7)</f>
        <v>2.7975495329657498</v>
      </c>
      <c r="AC35" s="75" cm="1">
        <f t="array" ref="AC35">INDEX(_xlfn._xlws.FILTER(CapacityTable[], (CapacityTable[Model] = $B$10) * (CapacityTable[T ext] = $D35) * (CapacityTable[T water out] = $AC$8) * (CapacityTable[Type] = $C$28),Tableau2[]),1,5)</f>
        <v>3.25968292855113</v>
      </c>
      <c r="AD35" s="77" cm="1">
        <f t="array" ref="AD35">INDEX(_xlfn._xlws.FILTER(CapacityTable[], (CapacityTable[Model] = $B$10) * (CapacityTable[T ext] = $D35) * (CapacityTable[T water out] = $AC$8) * (CapacityTable[Type] = $C$28),Tableau2[]),1,6)</f>
        <v>1.3326044017765064</v>
      </c>
      <c r="AE35" s="78" cm="1">
        <f t="array" ref="AE35">INDEX(_xlfn._xlws.FILTER(CapacityTable[], (CapacityTable[Model] = $B$10) * (CapacityTable[T ext] = $D35) * (CapacityTable[T water out] = $AC$8) * (CapacityTable[Type] = $C$28),Tableau2[]),1,7)</f>
        <v>2.4460994757375998</v>
      </c>
    </row>
    <row r="36" spans="1:31" ht="15.75" thickBot="1" x14ac:dyDescent="0.3">
      <c r="A36" s="31"/>
      <c r="B36" s="278"/>
      <c r="C36" s="283"/>
      <c r="D36" s="39">
        <v>20</v>
      </c>
      <c r="E36" s="89" cm="1">
        <f t="array" ref="E36">INDEX(_xlfn._xlws.FILTER(CapacityTable[], (CapacityTable[Model] = $B$10) * (CapacityTable[T ext] = $D36) * (CapacityTable[T water out] = $E$8) * (CapacityTable[Type] = $C$28),Tableau2[]),1,5)</f>
        <v>2.5922108757986897</v>
      </c>
      <c r="F36" s="90" cm="1">
        <f t="array" ref="F36">INDEX(_xlfn._xlws.FILTER(CapacityTable[], (CapacityTable[Model] = $B$10) * (CapacityTable[T ext] = $D36) * (CapacityTable[T water out] = $E$8) * (CapacityTable[Type] = $C$28),Tableau2[]),1,6)</f>
        <v>0.24784287363972088</v>
      </c>
      <c r="G36" s="91" cm="1">
        <f t="array" ref="G36">INDEX(_xlfn._xlws.FILTER(CapacityTable[], (CapacityTable[Model] = $B$10) * (CapacityTable[T ext] = $D36) * (CapacityTable[T water out] = $E$8) * (CapacityTable[Type] = $C$28),Tableau2[]),1,7)</f>
        <v>10.4590898165863</v>
      </c>
      <c r="H36" s="94" cm="1">
        <f t="array" ref="H36">INDEX(_xlfn._xlws.FILTER(CapacityTable[], (CapacityTable[Model] = $B$10) * (CapacityTable[T ext] = $D36) * (CapacityTable[T water out] = $H$8) * (CapacityTable[Type] = $C$28),Tableau2[]),1,5)</f>
        <v>2.4131695509251401</v>
      </c>
      <c r="I36" s="98" cm="1">
        <f t="array" ref="I36">INDEX(_xlfn._xlws.FILTER(CapacityTable[], (CapacityTable[Model] = $B$10) * (CapacityTable[T ext] = $D36) * (CapacityTable[T water out] = $H$8) * (CapacityTable[Type] = $C$28),Tableau2[]),1,6)</f>
        <v>0.36102459852455909</v>
      </c>
      <c r="J36" s="110" cm="1">
        <f t="array" ref="J36">INDEX(_xlfn._xlws.FILTER(CapacityTable[], (CapacityTable[Model] = $B$10) * (CapacityTable[T ext] = $D36) * (CapacityTable[T water out] = $H$8) * (CapacityTable[Type] = $C$28),Tableau2[]),1,7)</f>
        <v>6.6842247336810798</v>
      </c>
      <c r="K36" s="89" cm="1">
        <f t="array" ref="K36">INDEX(_xlfn._xlws.FILTER(CapacityTable[], (CapacityTable[Model] = $B$10) * (CapacityTable[T ext] = $D36) * (CapacityTable[T water out] = $K$8) * (CapacityTable[Type] = $C$28),Tableau2[]),1,5)</f>
        <v>2.3474142723868998</v>
      </c>
      <c r="L36" s="90" cm="1">
        <f t="array" ref="L36">INDEX(_xlfn._xlws.FILTER(CapacityTable[], (CapacityTable[Model] = $B$10) * (CapacityTable[T ext] = $D36) * (CapacityTable[T water out] = $K$8) * (CapacityTable[Type] = $C$28),Tableau2[]),1,6)</f>
        <v>0.4147313757402728</v>
      </c>
      <c r="M36" s="91" cm="1">
        <f t="array" ref="M36">INDEX(_xlfn._xlws.FILTER(CapacityTable[], (CapacityTable[Model] = $B$10) * (CapacityTable[T ext] = $D36) * (CapacityTable[T water out] = $K$8) * (CapacityTable[Type] = $C$28),Tableau2[]),1,7)</f>
        <v>5.6600836341279797</v>
      </c>
      <c r="N36" s="94" cm="1">
        <f t="array" ref="N36">INDEX(_xlfn._xlws.FILTER(CapacityTable[], (CapacityTable[Model] = $B$10) * (CapacityTable[T ext] = $D36) * (CapacityTable[T water out] = $N$8) * (CapacityTable[Type] = $C$28),Tableau2[]),1,5)</f>
        <v>2.2973422603657299</v>
      </c>
      <c r="O36" s="105" cm="1">
        <f t="array" ref="O36">INDEX(_xlfn._xlws.FILTER(CapacityTable[], (CapacityTable[Model] = $B$10) * (CapacityTable[T ext] = $D36) * (CapacityTable[T water out] = $N$8) * (CapacityTable[Type] = $C$28),Tableau2[]),1,6)</f>
        <v>0.47009131627039219</v>
      </c>
      <c r="P36" s="100" cm="1">
        <f t="array" ref="P36">INDEX(_xlfn._xlws.FILTER(CapacityTable[], (CapacityTable[Model] = $B$10) * (CapacityTable[T ext] = $D36) * (CapacityTable[T water out] = $N$8) * (CapacityTable[Type] = $C$28),Tableau2[]),1,7)</f>
        <v>4.8870127586962697</v>
      </c>
      <c r="Q36" s="94" cm="1">
        <f t="array" ref="Q36">INDEX(_xlfn._xlws.FILTER(CapacityTable[], (CapacityTable[Model] = $B$10) * (CapacityTable[T ext] = $D36) * (CapacityTable[T water out] = $Q$8) * (CapacityTable[Type] = $C$28),Tableau2[]),1,5)</f>
        <v>2.2437283392951999</v>
      </c>
      <c r="R36" s="105" cm="1">
        <f t="array" ref="R36">INDEX(_xlfn._xlws.FILTER(CapacityTable[], (CapacityTable[Model] = $B$10) * (CapacityTable[T ext] = $D36) * (CapacityTable[T water out] = $Q$8) * (CapacityTable[Type] = $C$28),Tableau2[]),1,6)</f>
        <v>0.52911759028129324</v>
      </c>
      <c r="S36" s="100" cm="1">
        <f t="array" ref="S36">INDEX(_xlfn._xlws.FILTER(CapacityTable[], (CapacityTable[Model] = $B$10) * (CapacityTable[T ext] = $D36) * (CapacityTable[T water out] = $Q$8) * (CapacityTable[Type] = $C$28),Tableau2[]),1,7)</f>
        <v>4.2405098233501803</v>
      </c>
      <c r="T36" s="94" cm="1">
        <f t="array" ref="T36">INDEX(_xlfn._xlws.FILTER(CapacityTable[], (CapacityTable[Model] = $B$10) * (CapacityTable[T ext] = $D36) * (CapacityTable[T water out] = $T$8) * (CapacityTable[Type] = $C$28),Tableau2[]),1,5)</f>
        <v>2.3869084969590797</v>
      </c>
      <c r="U36" s="105" cm="1">
        <f t="array" ref="U36">INDEX(_xlfn._xlws.FILTER(CapacityTable[], (CapacityTable[Model] = $B$10) * (CapacityTable[T ext] = $D36) * (CapacityTable[T water out] = $T$8) * (CapacityTable[Type] = $C$28),Tableau2[]),1,6)</f>
        <v>0.64201997101308594</v>
      </c>
      <c r="V36" s="100" cm="1">
        <f t="array" ref="V36">INDEX(_xlfn._xlws.FILTER(CapacityTable[], (CapacityTable[Model] = $B$10) * (CapacityTable[T ext] = $D36) * (CapacityTable[T water out] = $T$8) * (CapacityTable[Type] = $C$28),Tableau2[]),1,7)</f>
        <v>3.7178103559498599</v>
      </c>
      <c r="W36" s="94" cm="1">
        <f t="array" ref="W36">INDEX(_xlfn._xlws.FILTER(CapacityTable[], (CapacityTable[Model] = $B$10) * (CapacityTable[T ext] = $D36) * (CapacityTable[T water out] = $W$8) * (CapacityTable[Type] = $C$28),Tableau2[]),1,5)</f>
        <v>2.6885904083790901</v>
      </c>
      <c r="X36" s="105" cm="1">
        <f t="array" ref="X36">INDEX(_xlfn._xlws.FILTER(CapacityTable[], (CapacityTable[Model] = $B$10) * (CapacityTable[T ext] = $D36) * (CapacityTable[T water out] = $W$8) * (CapacityTable[Type] = $C$28),Tableau2[]),1,6)</f>
        <v>0.80654956564605063</v>
      </c>
      <c r="Y36" s="100" cm="1">
        <f t="array" ref="Y36">INDEX(_xlfn._xlws.FILTER(CapacityTable[], (CapacityTable[Model] = $B$10) * (CapacityTable[T ext] = $D36) * (CapacityTable[T water out] = $W$8) * (CapacityTable[Type] = $C$28),Tableau2[]),1,7)</f>
        <v>3.3334472212200801</v>
      </c>
      <c r="Z36" s="94" cm="1">
        <f t="array" ref="Z36">INDEX(_xlfn._xlws.FILTER(CapacityTable[], (CapacityTable[Model] = $B$10) * (CapacityTable[T ext] = $D36) * (CapacityTable[T water out] = $Z$8) * (CapacityTable[Type] = $C$28),Tableau2[]),1,5)</f>
        <v>3.7560656031178601</v>
      </c>
      <c r="AA36" s="105" cm="1">
        <f t="array" ref="AA36">INDEX(_xlfn._xlws.FILTER(CapacityTable[], (CapacityTable[Model] = $B$10) * (CapacityTable[T ext] = $D36) * (CapacityTable[T water out] = $Z$8) * (CapacityTable[Type] = $C$28),Tableau2[]),1,6)</f>
        <v>1.2101338654698119</v>
      </c>
      <c r="AB36" s="100" cm="1">
        <f t="array" ref="AB36">INDEX(_xlfn._xlws.FILTER(CapacityTable[], (CapacityTable[Model] = $B$10) * (CapacityTable[T ext] = $D36) * (CapacityTable[T water out] = $Z$8) * (CapacityTable[Type] = $C$28),Tableau2[]),1,7)</f>
        <v>3.1038430625686502</v>
      </c>
      <c r="AC36" s="94" cm="1">
        <f t="array" ref="AC36">INDEX(_xlfn._xlws.FILTER(CapacityTable[], (CapacityTable[Model] = $B$10) * (CapacityTable[T ext] = $D36) * (CapacityTable[T water out] = $AC$8) * (CapacityTable[Type] = $C$28),Tableau2[]),1,5)</f>
        <v>3.63026674948946</v>
      </c>
      <c r="AD36" s="105" cm="1">
        <f t="array" ref="AD36">INDEX(_xlfn._xlws.FILTER(CapacityTable[], (CapacityTable[Model] = $B$10) * (CapacityTable[T ext] = $D36) * (CapacityTable[T water out] = $AC$8) * (CapacityTable[Type] = $C$28),Tableau2[]),1,6)</f>
        <v>1.3406246399051658</v>
      </c>
      <c r="AE36" s="100" cm="1">
        <f t="array" ref="AE36">INDEX(_xlfn._xlws.FILTER(CapacityTable[], (CapacityTable[Model] = $B$10) * (CapacityTable[T ext] = $D36) * (CapacityTable[T water out] = $AC$8) * (CapacityTable[Type] = $C$28),Tableau2[]),1,7)</f>
        <v>2.7078920090162302</v>
      </c>
    </row>
    <row r="37" spans="1:31" x14ac:dyDescent="0.25">
      <c r="B37" s="276" t="s">
        <v>25</v>
      </c>
      <c r="C37" s="279" t="s">
        <v>165</v>
      </c>
      <c r="D37" s="37">
        <v>-20</v>
      </c>
      <c r="E37" s="83" cm="1">
        <f t="array" ref="E37">INDEX(_xlfn._xlws.FILTER(CapacityTable[], (CapacityTable[Model] = $B$37) * (CapacityTable[T ext] = $D37) * (CapacityTable[T water out] = $E$8) * (CapacityTable[Type] = $C$37),Tableau2[]),1,5)</f>
        <v>5.6723941867663896</v>
      </c>
      <c r="F37" s="84" cm="1">
        <f t="array" ref="F37">INDEX(_xlfn._xlws.FILTER(CapacityTable[], (CapacityTable[Model] = $B$37) * (CapacityTable[T ext] = $D37) * (CapacityTable[T water out] = $E$8) * (CapacityTable[Type] = $C$37),Tableau2[]),1,6)</f>
        <v>2.22200864833381</v>
      </c>
      <c r="G37" s="85" cm="1">
        <f t="array" ref="G37">INDEX(_xlfn._xlws.FILTER(CapacityTable[], (CapacityTable[Model] = $B$37) * (CapacityTable[T ext] = $D37) * (CapacityTable[T water out] = $E$8) * (CapacityTable[Type] = $C$37),Tableau2[]),1,7)</f>
        <v>2.5528227313695999</v>
      </c>
      <c r="H37" s="83" cm="1">
        <f t="array" ref="H37">INDEX(_xlfn._xlws.FILTER(CapacityTable[], (CapacityTable[Model] = $B$37) * (CapacityTable[T ext] = $D37) * (CapacityTable[T water out] = $H$8) * (CapacityTable[Type] = $C$37),Tableau2[]),1,5)</f>
        <v>5.6343046530577201</v>
      </c>
      <c r="I37" s="84" cm="1">
        <f t="array" ref="I37">INDEX(_xlfn._xlws.FILTER(CapacityTable[], (CapacityTable[Model] = $B$37) * (CapacityTable[T ext] = $D37) * (CapacityTable[T water out] = $H$8) * (CapacityTable[Type] = $C$37),Tableau2[]),1,6)</f>
        <v>2.4926522175867984</v>
      </c>
      <c r="J37" s="85" cm="1">
        <f t="array" ref="J37">INDEX(_xlfn._xlws.FILTER(CapacityTable[], (CapacityTable[Model] = $B$37) * (CapacityTable[T ext] = $D37) * (CapacityTable[T water out] = $H$8) * (CapacityTable[Type] = $C$37),Tableau2[]),1,7)</f>
        <v>2.2603653302715601</v>
      </c>
      <c r="K37" s="83" cm="1">
        <f t="array" ref="K37">INDEX(_xlfn._xlws.FILTER(CapacityTable[], (CapacityTable[Model] = $B$37) * (CapacityTable[T ext] = $D37) * (CapacityTable[T water out] = $K$8) * (CapacityTable[Type] = $C$37),Tableau2[]),1,5)</f>
        <v>5.6044640239035095</v>
      </c>
      <c r="L37" s="84" cm="1">
        <f t="array" ref="L37">INDEX(_xlfn._xlws.FILTER(CapacityTable[], (CapacityTable[Model] = $B$37) * (CapacityTable[T ext] = $D37) * (CapacityTable[T water out] = $K$8) * (CapacityTable[Type] = $C$37),Tableau2[]),1,6)</f>
        <v>2.6435812258846969</v>
      </c>
      <c r="M37" s="85" cm="1">
        <f t="array" ref="M37">INDEX(_xlfn._xlws.FILTER(CapacityTable[], (CapacityTable[Model] = $B$37) * (CapacityTable[T ext] = $D37) * (CapacityTable[T water out] = $K$8) * (CapacityTable[Type] = $C$37),Tableau2[]),1,7)</f>
        <v>2.12002716959375</v>
      </c>
      <c r="N37" s="83" cm="1">
        <f t="array" ref="N37">INDEX(_xlfn._xlws.FILTER(CapacityTable[], (CapacityTable[Model] = $B$37) * (CapacityTable[T ext] = $D37) * (CapacityTable[T water out] = $N$8) * (CapacityTable[Type] = $C$37),Tableau2[]),1,5)</f>
        <v>5.5702818939894296</v>
      </c>
      <c r="O37" s="84" cm="1">
        <f t="array" ref="O37">INDEX(_xlfn._xlws.FILTER(CapacityTable[], (CapacityTable[Model] = $B$37) * (CapacityTable[T ext] = $D37) * (CapacityTable[T water out] = $N$8) * (CapacityTable[Type] = $C$37),Tableau2[]),1,6)</f>
        <v>2.804411291208365</v>
      </c>
      <c r="P37" s="85" cm="1">
        <f t="array" ref="P37">INDEX(_xlfn._xlws.FILTER(CapacityTable[], (CapacityTable[Model] = $B$37) * (CapacityTable[T ext] = $D37) * (CapacityTable[T water out] = $N$8) * (CapacityTable[Type] = $C$37),Tableau2[]),1,7)</f>
        <v>1.98625711979262</v>
      </c>
      <c r="Q37" s="83" cm="1">
        <f t="array" ref="Q37">INDEX(_xlfn._xlws.FILTER(CapacityTable[], (CapacityTable[Model] = $B$37) * (CapacityTable[T ext] = $D37) * (CapacityTable[T water out] = $Q$8) * (CapacityTable[Type] = $C$37),Tableau2[]),1,5)</f>
        <v>5.53879912467072</v>
      </c>
      <c r="R37" s="84" cm="1">
        <f t="array" ref="R37">INDEX(_xlfn._xlws.FILTER(CapacityTable[], (CapacityTable[Model] = $B$37) * (CapacityTable[T ext] = $D37) * (CapacityTable[T water out] = $Q$8) * (CapacityTable[Type] = $C$37),Tableau2[]),1,6)</f>
        <v>2.9541508704966479</v>
      </c>
      <c r="S37" s="85" cm="1">
        <f t="array" ref="S37">INDEX(_xlfn._xlws.FILTER(CapacityTable[], (CapacityTable[Model] = $B$37) * (CapacityTable[T ext] = $D37) * (CapacityTable[T water out] = $Q$8) * (CapacityTable[Type] = $C$37),Tableau2[]),1,7)</f>
        <v>1.87492087150564</v>
      </c>
      <c r="T37" s="83" cm="1">
        <f t="array" ref="T37">INDEX(_xlfn._xlws.FILTER(CapacityTable[], (CapacityTable[Model] = $B$37) * (CapacityTable[T ext] = $D37) * (CapacityTable[T water out] = $T$8) * (CapacityTable[Type] = $C$37),Tableau2[]),1,5)</f>
        <v>5.5009190007551094</v>
      </c>
      <c r="U37" s="84" cm="1">
        <f t="array" ref="U37">INDEX(_xlfn._xlws.FILTER(CapacityTable[], (CapacityTable[Model] = $B$37) * (CapacityTable[T ext] = $D37) * (CapacityTable[T water out] = $T$8) * (CapacityTable[Type] = $C$37),Tableau2[]),1,6)</f>
        <v>3.1332062673548631</v>
      </c>
      <c r="V37" s="85" cm="1">
        <f t="array" ref="V37">INDEX(_xlfn._xlws.FILTER(CapacityTable[], (CapacityTable[Model] = $B$37) * (CapacityTable[T ext] = $D37) * (CapacityTable[T water out] = $T$8) * (CapacityTable[Type] = $C$37),Tableau2[]),1,7)</f>
        <v>1.7556836452389499</v>
      </c>
      <c r="W37" s="83" cm="1">
        <f t="array" ref="W37">INDEX(_xlfn._xlws.FILTER(CapacityTable[], (CapacityTable[Model] = $B$37) * (CapacityTable[T ext] = $D37) * (CapacityTable[T water out] = $W$8) * (CapacityTable[Type] = $C$37),Tableau2[]),1,5)</f>
        <v>5.4627546667346296</v>
      </c>
      <c r="X37" s="84" cm="1">
        <f t="array" ref="X37">INDEX(_xlfn._xlws.FILTER(CapacityTable[], (CapacityTable[Model] = $B$37) * (CapacityTable[T ext] = $D37) * (CapacityTable[T water out] = $W$8) * (CapacityTable[Type] = $C$37),Tableau2[]),1,6)</f>
        <v>3.3220234483649578</v>
      </c>
      <c r="Y37" s="85" cm="1">
        <f t="array" ref="Y37">INDEX(_xlfn._xlws.FILTER(CapacityTable[], (CapacityTable[Model] = $B$37) * (CapacityTable[T ext] = $D37) * (CapacityTable[T water out] = $W$8) * (CapacityTable[Type] = $C$37),Tableau2[]),1,7)</f>
        <v>1.6444058121935601</v>
      </c>
      <c r="Z37" s="83" cm="1">
        <f t="array" ref="Z37">INDEX(_xlfn._xlws.FILTER(CapacityTable[], (CapacityTable[Model] = $B$37) * (CapacityTable[T ext] = $D37) * (CapacityTable[T water out] = $Z$8) * (CapacityTable[Type] = $C$37),Tableau2[]),1,5)</f>
        <v>5.3100609143225199</v>
      </c>
      <c r="AA37" s="84" cm="1">
        <f t="array" ref="AA37">INDEX(_xlfn._xlws.FILTER(CapacityTable[], (CapacityTable[Model] = $B$37) * (CapacityTable[T ext] = $D37) * (CapacityTable[T water out] = $Z$8) * (CapacityTable[Type] = $C$37),Tableau2[]),1,6)</f>
        <v>3.4521912248271942</v>
      </c>
      <c r="AB37" s="85" cm="1">
        <f t="array" ref="AB37">INDEX(_xlfn._xlws.FILTER(CapacityTable[], (CapacityTable[Model] = $B$37) * (CapacityTable[T ext] = $D37) * (CapacityTable[T water out] = $Z$8) * (CapacityTable[Type] = $C$37),Tableau2[]),1,7)</f>
        <v>1.5381711407334699</v>
      </c>
      <c r="AC37" s="83" t="str" cm="1">
        <f t="array" ref="AC37">INDEX(_xlfn._xlws.FILTER(CapacityTable[], (CapacityTable[Model] = $B$37) * (CapacityTable[T ext] = $D37) * (CapacityTable[T water out] = $AC$8) * (CapacityTable[Type] = $C$37),Tableau2[]),1,5)</f>
        <v>N.A.</v>
      </c>
      <c r="AD37" s="84" t="str" cm="1">
        <f t="array" ref="AD37">INDEX(_xlfn._xlws.FILTER(CapacityTable[], (CapacityTable[Model] = $B$37) * (CapacityTable[T ext] = $D37) * (CapacityTable[T water out] = $AC$8) * (CapacityTable[Type] = $C$37),Tableau2[]),1,6)</f>
        <v>N.A.</v>
      </c>
      <c r="AE37" s="85" t="str" cm="1">
        <f t="array" ref="AE37">INDEX(_xlfn._xlws.FILTER(CapacityTable[], (CapacityTable[Model] = $B$37) * (CapacityTable[T ext] = $D37) * (CapacityTable[T water out] = $AC$8) * (CapacityTable[Type] = $C$37),Tableau2[]),1,7)</f>
        <v>N.A.</v>
      </c>
    </row>
    <row r="38" spans="1:31" x14ac:dyDescent="0.25">
      <c r="B38" s="277"/>
      <c r="C38" s="280"/>
      <c r="D38" s="38">
        <v>-15</v>
      </c>
      <c r="E38" s="115" cm="1">
        <f t="array" ref="E38">INDEX(_xlfn._xlws.FILTER(CapacityTable[], (CapacityTable[Model] = $B$37) * (CapacityTable[T ext] = $D38) * (CapacityTable[T water out] = $E$8) * (CapacityTable[Type] = $C$37),Tableau2[]),1,5)</f>
        <v>6.8722467615825096</v>
      </c>
      <c r="F38" s="77" cm="1">
        <f t="array" ref="F38">INDEX(_xlfn._xlws.FILTER(CapacityTable[], (CapacityTable[Model] = $B$37) * (CapacityTable[T ext] = $D38) * (CapacityTable[T water out] = $E$8) * (CapacityTable[Type] = $C$37),Tableau2[]),1,6)</f>
        <v>2.3935206192671403</v>
      </c>
      <c r="G38" s="78" cm="1">
        <f t="array" ref="G38">INDEX(_xlfn._xlws.FILTER(CapacityTable[], (CapacityTable[Model] = $B$37) * (CapacityTable[T ext] = $D38) * (CapacityTable[T water out] = $E$8) * (CapacityTable[Type] = $C$37),Tableau2[]),1,7)</f>
        <v>2.8711876163768699</v>
      </c>
      <c r="H38" s="75" cm="1">
        <f t="array" ref="H38">INDEX(_xlfn._xlws.FILTER(CapacityTable[], (CapacityTable[Model] = $B$37) * (CapacityTable[T ext] = $D38) * (CapacityTable[T water out] = $H$8) * (CapacityTable[Type] = $C$37),Tableau2[]),1,5)</f>
        <v>6.7823728039136206</v>
      </c>
      <c r="I38" s="77" cm="1">
        <f t="array" ref="I38">INDEX(_xlfn._xlws.FILTER(CapacityTable[], (CapacityTable[Model] = $B$37) * (CapacityTable[T ext] = $D38) * (CapacityTable[T water out] = $H$8) * (CapacityTable[Type] = $C$37),Tableau2[]),1,6)</f>
        <v>2.7005758096431429</v>
      </c>
      <c r="J38" s="78" cm="1">
        <f t="array" ref="J38">INDEX(_xlfn._xlws.FILTER(CapacityTable[], (CapacityTable[Model] = $B$37) * (CapacityTable[T ext] = $D38) * (CapacityTable[T water out] = $H$8) * (CapacityTable[Type] = $C$37),Tableau2[]),1,7)</f>
        <v>2.5114543275161201</v>
      </c>
      <c r="K38" s="115" cm="1">
        <f t="array" ref="K38">INDEX(_xlfn._xlws.FILTER(CapacityTable[], (CapacityTable[Model] = $B$37) * (CapacityTable[T ext] = $D38) * (CapacityTable[T water out] = $K$8) * (CapacityTable[Type] = $C$37),Tableau2[]),1,5)</f>
        <v>6.7310953230028101</v>
      </c>
      <c r="L38" s="77" cm="1">
        <f t="array" ref="L38">INDEX(_xlfn._xlws.FILTER(CapacityTable[], (CapacityTable[Model] = $B$37) * (CapacityTable[T ext] = $D38) * (CapacityTable[T water out] = $K$8) * (CapacityTable[Type] = $C$37),Tableau2[]),1,6)</f>
        <v>2.8739786785165888</v>
      </c>
      <c r="M38" s="78" cm="1">
        <f t="array" ref="M38">INDEX(_xlfn._xlws.FILTER(CapacityTable[], (CapacityTable[Model] = $B$37) * (CapacityTable[T ext] = $D38) * (CapacityTable[T water out] = $K$8) * (CapacityTable[Type] = $C$37),Tableau2[]),1,7)</f>
        <v>2.3420825538194601</v>
      </c>
      <c r="N38" s="75" cm="1">
        <f t="array" ref="N38">INDEX(_xlfn._xlws.FILTER(CapacityTable[], (CapacityTable[Model] = $B$37) * (CapacityTable[T ext] = $D38) * (CapacityTable[T water out] = $N$8) * (CapacityTable[Type] = $C$37),Tableau2[]),1,5)</f>
        <v>6.6773455098594603</v>
      </c>
      <c r="O38" s="77" cm="1">
        <f t="array" ref="O38">INDEX(_xlfn._xlws.FILTER(CapacityTable[], (CapacityTable[Model] = $B$37) * (CapacityTable[T ext] = $D38) * (CapacityTable[T water out] = $N$8) * (CapacityTable[Type] = $C$37),Tableau2[]),1,6)</f>
        <v>3.0602432402477571</v>
      </c>
      <c r="P38" s="78" cm="1">
        <f t="array" ref="P38">INDEX(_xlfn._xlws.FILTER(CapacityTable[], (CapacityTable[Model] = $B$37) * (CapacityTable[T ext] = $D38) * (CapacityTable[T water out] = $N$8) * (CapacityTable[Type] = $C$37),Tableau2[]),1,7)</f>
        <v>2.1819656104587501</v>
      </c>
      <c r="Q38" s="75" cm="1">
        <f t="array" ref="Q38">INDEX(_xlfn._xlws.FILTER(CapacityTable[], (CapacityTable[Model] = $B$37) * (CapacityTable[T ext] = $D38) * (CapacityTable[T water out] = $Q$8) * (CapacityTable[Type] = $C$37),Tableau2[]),1,5)</f>
        <v>6.6257805153927105</v>
      </c>
      <c r="R38" s="77" cm="1">
        <f t="array" ref="R38">INDEX(_xlfn._xlws.FILTER(CapacityTable[], (CapacityTable[Model] = $B$37) * (CapacityTable[T ext] = $D38) * (CapacityTable[T water out] = $Q$8) * (CapacityTable[Type] = $C$37),Tableau2[]),1,6)</f>
        <v>3.2134187424499614</v>
      </c>
      <c r="S38" s="78" cm="1">
        <f t="array" ref="S38">INDEX(_xlfn._xlws.FILTER(CapacityTable[], (CapacityTable[Model] = $B$37) * (CapacityTable[T ext] = $D38) * (CapacityTable[T water out] = $Q$8) * (CapacityTable[Type] = $C$37),Tableau2[]),1,7)</f>
        <v>2.0619100859357999</v>
      </c>
      <c r="T38" s="75" cm="1">
        <f t="array" ref="T38">INDEX(_xlfn._xlws.FILTER(CapacityTable[], (CapacityTable[Model] = $B$37) * (CapacityTable[T ext] = $D38) * (CapacityTable[T water out] = $T$8) * (CapacityTable[Type] = $C$37),Tableau2[]),1,5)</f>
        <v>6.5610606727322702</v>
      </c>
      <c r="U38" s="77" cm="1">
        <f t="array" ref="U38">INDEX(_xlfn._xlws.FILTER(CapacityTable[], (CapacityTable[Model] = $B$37) * (CapacityTable[T ext] = $D38) * (CapacityTable[T water out] = $T$8) * (CapacityTable[Type] = $C$37),Tableau2[]),1,6)</f>
        <v>3.4196431993010901</v>
      </c>
      <c r="V38" s="78" cm="1">
        <f t="array" ref="V38">INDEX(_xlfn._xlws.FILTER(CapacityTable[], (CapacityTable[Model] = $B$37) * (CapacityTable[T ext] = $D38) * (CapacityTable[T water out] = $T$8) * (CapacityTable[Type] = $C$37),Tableau2[]),1,7)</f>
        <v>1.91863896036675</v>
      </c>
      <c r="W38" s="75" cm="1">
        <f t="array" ref="W38">INDEX(_xlfn._xlws.FILTER(CapacityTable[], (CapacityTable[Model] = $B$37) * (CapacityTable[T ext] = $D38) * (CapacityTable[T water out] = $W$8) * (CapacityTable[Type] = $C$37),Tableau2[]),1,5)</f>
        <v>6.48929142380688</v>
      </c>
      <c r="X38" s="77" cm="1">
        <f t="array" ref="X38">INDEX(_xlfn._xlws.FILTER(CapacityTable[], (CapacityTable[Model] = $B$37) * (CapacityTable[T ext] = $D38) * (CapacityTable[T water out] = $W$8) * (CapacityTable[Type] = $C$37),Tableau2[]),1,6)</f>
        <v>3.6364487403555059</v>
      </c>
      <c r="Y38" s="78" cm="1">
        <f t="array" ref="Y38">INDEX(_xlfn._xlws.FILTER(CapacityTable[], (CapacityTable[Model] = $B$37) * (CapacityTable[T ext] = $D38) * (CapacityTable[T water out] = $W$8) * (CapacityTable[Type] = $C$37),Tableau2[]),1,7)</f>
        <v>1.7845133775136</v>
      </c>
      <c r="Z38" s="75" cm="1">
        <f t="array" ref="Z38">INDEX(_xlfn._xlws.FILTER(CapacityTable[], (CapacityTable[Model] = $B$37) * (CapacityTable[T ext] = $D38) * (CapacityTable[T water out] = $Z$8) * (CapacityTable[Type] = $C$37),Tableau2[]),1,5)</f>
        <v>6.4157442650338199</v>
      </c>
      <c r="AA38" s="77" cm="1">
        <f t="array" ref="AA38">INDEX(_xlfn._xlws.FILTER(CapacityTable[], (CapacityTable[Model] = $B$37) * (CapacityTable[T ext] = $D38) * (CapacityTable[T water out] = $Z$8) * (CapacityTable[Type] = $C$37),Tableau2[]),1,6)</f>
        <v>3.8628228343387705</v>
      </c>
      <c r="AB38" s="78" cm="1">
        <f t="array" ref="AB38">INDEX(_xlfn._xlws.FILTER(CapacityTable[], (CapacityTable[Model] = $B$37) * (CapacityTable[T ext] = $D38) * (CapacityTable[T water out] = $Z$8) * (CapacityTable[Type] = $C$37),Tableau2[]),1,7)</f>
        <v>1.6608952934627801</v>
      </c>
      <c r="AC38" s="75" t="str" cm="1">
        <f t="array" ref="AC38">INDEX(_xlfn._xlws.FILTER(CapacityTable[], (CapacityTable[Model] = $B$37) * (CapacityTable[T ext] = $D38) * (CapacityTable[T water out] = $AC$8) * (CapacityTable[Type] = $C$37),Tableau2[]),1,5)</f>
        <v>N.A.</v>
      </c>
      <c r="AD38" s="77" t="str" cm="1">
        <f t="array" ref="AD38">INDEX(_xlfn._xlws.FILTER(CapacityTable[], (CapacityTable[Model] = $B$37) * (CapacityTable[T ext] = $D38) * (CapacityTable[T water out] = $AC$8) * (CapacityTable[Type] = $C$37),Tableau2[]),1,6)</f>
        <v>N.A.</v>
      </c>
      <c r="AE38" s="78" t="str" cm="1">
        <f t="array" ref="AE38">INDEX(_xlfn._xlws.FILTER(CapacityTable[], (CapacityTable[Model] = $B$37) * (CapacityTable[T ext] = $D38) * (CapacityTable[T water out] = $AC$8) * (CapacityTable[Type] = $C$37),Tableau2[]),1,7)</f>
        <v>N.A.</v>
      </c>
    </row>
    <row r="39" spans="1:31" x14ac:dyDescent="0.25">
      <c r="B39" s="277"/>
      <c r="C39" s="280"/>
      <c r="D39" s="38">
        <v>-10</v>
      </c>
      <c r="E39" s="115" cm="1">
        <f t="array" ref="E39">INDEX(_xlfn._xlws.FILTER(CapacityTable[], (CapacityTable[Model] = $B$37) * (CapacityTable[T ext] = $D39) * (CapacityTable[T water out] = $E$8) * (CapacityTable[Type] = $C$37),Tableau2[]),1,5)</f>
        <v>8.0109520836098298</v>
      </c>
      <c r="F39" s="77" cm="1">
        <f t="array" ref="F39">INDEX(_xlfn._xlws.FILTER(CapacityTable[], (CapacityTable[Model] = $B$37) * (CapacityTable[T ext] = $D39) * (CapacityTable[T water out] = $E$8) * (CapacityTable[Type] = $C$37),Tableau2[]),1,6)</f>
        <v>2.5751728264435978</v>
      </c>
      <c r="G39" s="78" cm="1">
        <f t="array" ref="G39">INDEX(_xlfn._xlws.FILTER(CapacityTable[], (CapacityTable[Model] = $B$37) * (CapacityTable[T ext] = $D39) * (CapacityTable[T water out] = $E$8) * (CapacityTable[Type] = $C$37),Tableau2[]),1,7)</f>
        <v>3.1108405623684798</v>
      </c>
      <c r="H39" s="75" cm="1">
        <f t="array" ref="H39">INDEX(_xlfn._xlws.FILTER(CapacityTable[], (CapacityTable[Model] = $B$37) * (CapacityTable[T ext] = $D39) * (CapacityTable[T water out] = $H$8) * (CapacityTable[Type] = $C$37),Tableau2[]),1,5)</f>
        <v>7.8771834552461293</v>
      </c>
      <c r="I39" s="77" cm="1">
        <f t="array" ref="I39">INDEX(_xlfn._xlws.FILTER(CapacityTable[], (CapacityTable[Model] = $B$37) * (CapacityTable[T ext] = $D39) * (CapacityTable[T water out] = $H$8) * (CapacityTable[Type] = $C$37),Tableau2[]),1,6)</f>
        <v>2.911854573162346</v>
      </c>
      <c r="J39" s="78" cm="1">
        <f t="array" ref="J39">INDEX(_xlfn._xlws.FILTER(CapacityTable[], (CapacityTable[Model] = $B$37) * (CapacityTable[T ext] = $D39) * (CapacityTable[T water out] = $H$8) * (CapacityTable[Type] = $C$37),Tableau2[]),1,7)</f>
        <v>2.70521183573097</v>
      </c>
      <c r="K39" s="115" cm="1">
        <f t="array" ref="K39">INDEX(_xlfn._xlws.FILTER(CapacityTable[], (CapacityTable[Model] = $B$37) * (CapacityTable[T ext] = $D39) * (CapacityTable[T water out] = $K$8) * (CapacityTable[Type] = $C$37),Tableau2[]),1,5)</f>
        <v>7.8052363197162702</v>
      </c>
      <c r="L39" s="77" cm="1">
        <f t="array" ref="L39">INDEX(_xlfn._xlws.FILTER(CapacityTable[], (CapacityTable[Model] = $B$37) * (CapacityTable[T ext] = $D39) * (CapacityTable[T water out] = $K$8) * (CapacityTable[Type] = $C$37),Tableau2[]),1,6)</f>
        <v>3.1032886846717838</v>
      </c>
      <c r="M39" s="78" cm="1">
        <f t="array" ref="M39">INDEX(_xlfn._xlws.FILTER(CapacityTable[], (CapacityTable[Model] = $B$37) * (CapacityTable[T ext] = $D39) * (CapacityTable[T water out] = $K$8) * (CapacityTable[Type] = $C$37),Tableau2[]),1,7)</f>
        <v>2.5151499305459502</v>
      </c>
      <c r="N39" s="75" cm="1">
        <f t="array" ref="N39">INDEX(_xlfn._xlws.FILTER(CapacityTable[], (CapacityTable[Model] = $B$37) * (CapacityTable[T ext] = $D39) * (CapacityTable[T water out] = $N$8) * (CapacityTable[Type] = $C$37),Tableau2[]),1,5)</f>
        <v>7.7294901023145703</v>
      </c>
      <c r="O39" s="77" cm="1">
        <f t="array" ref="O39">INDEX(_xlfn._xlws.FILTER(CapacityTable[], (CapacityTable[Model] = $B$37) * (CapacityTable[T ext] = $D39) * (CapacityTable[T water out] = $N$8) * (CapacityTable[Type] = $C$37),Tableau2[]),1,6)</f>
        <v>3.3099160662226255</v>
      </c>
      <c r="P39" s="78" cm="1">
        <f t="array" ref="P39">INDEX(_xlfn._xlws.FILTER(CapacityTable[], (CapacityTable[Model] = $B$37) * (CapacityTable[T ext] = $D39) * (CapacityTable[T water out] = $N$8) * (CapacityTable[Type] = $C$37),Tableau2[]),1,7)</f>
        <v>2.33525260087205</v>
      </c>
      <c r="Q39" s="75" cm="1">
        <f t="array" ref="Q39">INDEX(_xlfn._xlws.FILTER(CapacityTable[], (CapacityTable[Model] = $B$37) * (CapacityTable[T ext] = $D39) * (CapacityTable[T water out] = $Q$8) * (CapacityTable[Type] = $C$37),Tableau2[]),1,5)</f>
        <v>7.6661741249366697</v>
      </c>
      <c r="R39" s="77" cm="1">
        <f t="array" ref="R39">INDEX(_xlfn._xlws.FILTER(CapacityTable[], (CapacityTable[Model] = $B$37) * (CapacityTable[T ext] = $D39) * (CapacityTable[T water out] = $Q$8) * (CapacityTable[Type] = $C$37),Tableau2[]),1,6)</f>
        <v>3.4736207575166476</v>
      </c>
      <c r="S39" s="78" cm="1">
        <f t="array" ref="S39">INDEX(_xlfn._xlws.FILTER(CapacityTable[], (CapacityTable[Model] = $B$37) * (CapacityTable[T ext] = $D39) * (CapacityTable[T water out] = $Q$8) * (CapacityTable[Type] = $C$37),Tableau2[]),1,7)</f>
        <v>2.2069692289659599</v>
      </c>
      <c r="T39" s="75" cm="1">
        <f t="array" ref="T39">INDEX(_xlfn._xlws.FILTER(CapacityTable[], (CapacityTable[Model] = $B$37) * (CapacityTable[T ext] = $D39) * (CapacityTable[T water out] = $T$8) * (CapacityTable[Type] = $C$37),Tableau2[]),1,5)</f>
        <v>7.5918561128632502</v>
      </c>
      <c r="U39" s="77" cm="1">
        <f t="array" ref="U39">INDEX(_xlfn._xlws.FILTER(CapacityTable[], (CapacityTable[Model] = $B$37) * (CapacityTable[T ext] = $D39) * (CapacityTable[T water out] = $T$8) * (CapacityTable[Type] = $C$37),Tableau2[]),1,6)</f>
        <v>3.704986598800069</v>
      </c>
      <c r="V39" s="78" cm="1">
        <f t="array" ref="V39">INDEX(_xlfn._xlws.FILTER(CapacityTable[], (CapacityTable[Model] = $B$37) * (CapacityTable[T ext] = $D39) * (CapacityTable[T water out] = $T$8) * (CapacityTable[Type] = $C$37),Tableau2[]),1,7)</f>
        <v>2.0490913827655999</v>
      </c>
      <c r="W39" s="75" cm="1">
        <f t="array" ref="W39">INDEX(_xlfn._xlws.FILTER(CapacityTable[], (CapacityTable[Model] = $B$37) * (CapacityTable[T ext] = $D39) * (CapacityTable[T water out] = $W$8) * (CapacityTable[Type] = $C$37),Tableau2[]),1,5)</f>
        <v>7.5234901722848795</v>
      </c>
      <c r="X39" s="77" cm="1">
        <f t="array" ref="X39">INDEX(_xlfn._xlws.FILTER(CapacityTable[], (CapacityTable[Model] = $B$37) * (CapacityTable[T ext] = $D39) * (CapacityTable[T water out] = $W$8) * (CapacityTable[Type] = $C$37),Tableau2[]),1,6)</f>
        <v>3.9361129322323731</v>
      </c>
      <c r="Y39" s="78" cm="1">
        <f t="array" ref="Y39">INDEX(_xlfn._xlws.FILTER(CapacityTable[], (CapacityTable[Model] = $B$37) * (CapacityTable[T ext] = $D39) * (CapacityTable[T water out] = $W$8) * (CapacityTable[Type] = $C$37),Tableau2[]),1,7)</f>
        <v>1.9114009942844601</v>
      </c>
      <c r="Z39" s="75" cm="1">
        <f t="array" ref="Z39">INDEX(_xlfn._xlws.FILTER(CapacityTable[], (CapacityTable[Model] = $B$37) * (CapacityTable[T ext] = $D39) * (CapacityTable[T water out] = $Z$8) * (CapacityTable[Type] = $C$37),Tableau2[]),1,5)</f>
        <v>7.4550382463174101</v>
      </c>
      <c r="AA39" s="77" cm="1">
        <f t="array" ref="AA39">INDEX(_xlfn._xlws.FILTER(CapacityTable[], (CapacityTable[Model] = $B$37) * (CapacityTable[T ext] = $D39) * (CapacityTable[T water out] = $Z$8) * (CapacityTable[Type] = $C$37),Tableau2[]),1,6)</f>
        <v>4.1964318386111366</v>
      </c>
      <c r="AB39" s="78" cm="1">
        <f t="array" ref="AB39">INDEX(_xlfn._xlws.FILTER(CapacityTable[], (CapacityTable[Model] = $B$37) * (CapacityTable[T ext] = $D39) * (CapacityTable[T water out] = $Z$8) * (CapacityTable[Type] = $C$37),Tableau2[]),1,7)</f>
        <v>1.7765183691830799</v>
      </c>
      <c r="AC39" s="75" cm="1">
        <f t="array" ref="AC39">INDEX(_xlfn._xlws.FILTER(CapacityTable[], (CapacityTable[Model] = $B$37) * (CapacityTable[T ext] = $D39) * (CapacityTable[T water out] = $AC$8) * (CapacityTable[Type] = $C$37),Tableau2[]),1,5)</f>
        <v>6.9193702501489298</v>
      </c>
      <c r="AD39" s="77" cm="1">
        <f t="array" ref="AD39">INDEX(_xlfn._xlws.FILTER(CapacityTable[], (CapacityTable[Model] = $B$37) * (CapacityTable[T ext] = $D39) * (CapacityTable[T water out] = $AC$8) * (CapacityTable[Type] = $C$37),Tableau2[]),1,6)</f>
        <v>4.1776188749313441</v>
      </c>
      <c r="AE39" s="78" cm="1">
        <f t="array" ref="AE39">INDEX(_xlfn._xlws.FILTER(CapacityTable[], (CapacityTable[Model] = $B$37) * (CapacityTable[T ext] = $D39) * (CapacityTable[T water out] = $AC$8) * (CapacityTable[Type] = $C$37),Tableau2[]),1,7)</f>
        <v>1.6562952383402001</v>
      </c>
    </row>
    <row r="40" spans="1:31" x14ac:dyDescent="0.25">
      <c r="B40" s="277"/>
      <c r="C40" s="280"/>
      <c r="D40" s="38">
        <v>-7</v>
      </c>
      <c r="E40" s="115" cm="1">
        <f t="array" ref="E40">INDEX(_xlfn._xlws.FILTER(CapacityTable[], (CapacityTable[Model] = $B$37) * (CapacityTable[T ext] = $D40) * (CapacityTable[T water out] = $E$8) * (CapacityTable[Type] = $C$37),Tableau2[]),1,5)</f>
        <v>8.6143677401496692</v>
      </c>
      <c r="F40" s="77" cm="1">
        <f t="array" ref="F40">INDEX(_xlfn._xlws.FILTER(CapacityTable[], (CapacityTable[Model] = $B$37) * (CapacityTable[T ext] = $D40) * (CapacityTable[T water out] = $E$8) * (CapacityTable[Type] = $C$37),Tableau2[]),1,6)</f>
        <v>2.6184155585681888</v>
      </c>
      <c r="G40" s="78" cm="1">
        <f t="array" ref="G40">INDEX(_xlfn._xlws.FILTER(CapacityTable[], (CapacityTable[Model] = $B$37) * (CapacityTable[T ext] = $D40) * (CapacityTable[T water out] = $E$8) * (CapacityTable[Type] = $C$37),Tableau2[]),1,7)</f>
        <v>3.2899161907135199</v>
      </c>
      <c r="H40" s="75" cm="1">
        <f t="array" ref="H40">INDEX(_xlfn._xlws.FILTER(CapacityTable[], (CapacityTable[Model] = $B$37) * (CapacityTable[T ext] = $D40) * (CapacityTable[T water out] = $H$8) * (CapacityTable[Type] = $C$37),Tableau2[]),1,5)</f>
        <v>8.4392364004202705</v>
      </c>
      <c r="I40" s="77" cm="1">
        <f t="array" ref="I40">INDEX(_xlfn._xlws.FILTER(CapacityTable[], (CapacityTable[Model] = $B$37) * (CapacityTable[T ext] = $D40) * (CapacityTable[T water out] = $H$8) * (CapacityTable[Type] = $C$37),Tableau2[]),1,6)</f>
        <v>2.9675170610852617</v>
      </c>
      <c r="J40" s="78" cm="1">
        <f t="array" ref="J40">INDEX(_xlfn._xlws.FILTER(CapacityTable[], (CapacityTable[Model] = $B$37) * (CapacityTable[T ext] = $D40) * (CapacityTable[T water out] = $H$8) * (CapacityTable[Type] = $C$37),Tableau2[]),1,7)</f>
        <v>2.8438712319766499</v>
      </c>
      <c r="K40" s="115" cm="1">
        <f t="array" ref="K40">INDEX(_xlfn._xlws.FILTER(CapacityTable[], (CapacityTable[Model] = $B$37) * (CapacityTable[T ext] = $D40) * (CapacityTable[T water out] = $K$8) * (CapacityTable[Type] = $C$37),Tableau2[]),1,5)</f>
        <v>8.34842804738736</v>
      </c>
      <c r="L40" s="77" cm="1">
        <f t="array" ref="L40">INDEX(_xlfn._xlws.FILTER(CapacityTable[], (CapacityTable[Model] = $B$37) * (CapacityTable[T ext] = $D40) * (CapacityTable[T water out] = $K$8) * (CapacityTable[Type] = $C$37),Tableau2[]),1,6)</f>
        <v>3.1662389507215383</v>
      </c>
      <c r="M40" s="78" cm="1">
        <f t="array" ref="M40">INDEX(_xlfn._xlws.FILTER(CapacityTable[], (CapacityTable[Model] = $B$37) * (CapacityTable[T ext] = $D40) * (CapacityTable[T water out] = $K$8) * (CapacityTable[Type] = $C$37),Tableau2[]),1,7)</f>
        <v>2.6367018337276402</v>
      </c>
      <c r="N40" s="75" cm="1">
        <f t="array" ref="N40">INDEX(_xlfn._xlws.FILTER(CapacityTable[], (CapacityTable[Model] = $B$37) * (CapacityTable[T ext] = $D40) * (CapacityTable[T water out] = $N$8) * (CapacityTable[Type] = $C$37),Tableau2[]),1,5)</f>
        <v>8.2564976448090803</v>
      </c>
      <c r="O40" s="77" cm="1">
        <f t="array" ref="O40">INDEX(_xlfn._xlws.FILTER(CapacityTable[], (CapacityTable[Model] = $B$37) * (CapacityTable[T ext] = $D40) * (CapacityTable[T water out] = $N$8) * (CapacityTable[Type] = $C$37),Tableau2[]),1,6)</f>
        <v>3.3815279557746103</v>
      </c>
      <c r="P40" s="78" cm="1">
        <f t="array" ref="P40">INDEX(_xlfn._xlws.FILTER(CapacityTable[], (CapacityTable[Model] = $B$37) * (CapacityTable[T ext] = $D40) * (CapacityTable[T water out] = $N$8) * (CapacityTable[Type] = $C$37),Tableau2[]),1,7)</f>
        <v>2.4416470166125701</v>
      </c>
      <c r="Q40" s="75" cm="1">
        <f t="array" ref="Q40">INDEX(_xlfn._xlws.FILTER(CapacityTable[], (CapacityTable[Model] = $B$37) * (CapacityTable[T ext] = $D40) * (CapacityTable[T water out] = $Q$8) * (CapacityTable[Type] = $C$37),Tableau2[]),1,5)</f>
        <v>8.1768680854035694</v>
      </c>
      <c r="R40" s="77" cm="1">
        <f t="array" ref="R40">INDEX(_xlfn._xlws.FILTER(CapacityTable[], (CapacityTable[Model] = $B$37) * (CapacityTable[T ext] = $D40) * (CapacityTable[T water out] = $Q$8) * (CapacityTable[Type] = $C$37),Tableau2[]),1,6)</f>
        <v>3.5498576698979343</v>
      </c>
      <c r="S40" s="78" cm="1">
        <f t="array" ref="S40">INDEX(_xlfn._xlws.FILTER(CapacityTable[], (CapacityTable[Model] = $B$37) * (CapacityTable[T ext] = $D40) * (CapacityTable[T water out] = $Q$8) * (CapacityTable[Type] = $C$37),Tableau2[]),1,7)</f>
        <v>2.3034354742562599</v>
      </c>
      <c r="T40" s="75" cm="1">
        <f t="array" ref="T40">INDEX(_xlfn._xlws.FILTER(CapacityTable[], (CapacityTable[Model] = $B$37) * (CapacityTable[T ext] = $D40) * (CapacityTable[T water out] = $T$8) * (CapacityTable[Type] = $C$37),Tableau2[]),1,5)</f>
        <v>8.0867677611589492</v>
      </c>
      <c r="U40" s="77" cm="1">
        <f t="array" ref="U40">INDEX(_xlfn._xlws.FILTER(CapacityTable[], (CapacityTable[Model] = $B$37) * (CapacityTable[T ext] = $D40) * (CapacityTable[T water out] = $T$8) * (CapacityTable[Type] = $C$37),Tableau2[]),1,6)</f>
        <v>3.7912675584049653</v>
      </c>
      <c r="V40" s="78" cm="1">
        <f t="array" ref="V40">INDEX(_xlfn._xlws.FILTER(CapacityTable[], (CapacityTable[Model] = $B$37) * (CapacityTable[T ext] = $D40) * (CapacityTable[T water out] = $T$8) * (CapacityTable[Type] = $C$37),Tableau2[]),1,7)</f>
        <v>2.1329984329993201</v>
      </c>
      <c r="W40" s="75" cm="1">
        <f t="array" ref="W40">INDEX(_xlfn._xlws.FILTER(CapacityTable[], (CapacityTable[Model] = $B$37) * (CapacityTable[T ext] = $D40) * (CapacityTable[T water out] = $W$8) * (CapacityTable[Type] = $C$37),Tableau2[]),1,5)</f>
        <v>8.0070039076390511</v>
      </c>
      <c r="X40" s="77" cm="1">
        <f t="array" ref="X40">INDEX(_xlfn._xlws.FILTER(CapacityTable[], (CapacityTable[Model] = $B$37) * (CapacityTable[T ext] = $D40) * (CapacityTable[T water out] = $W$8) * (CapacityTable[Type] = $C$37),Tableau2[]),1,6)</f>
        <v>4.0219574101182838</v>
      </c>
      <c r="Y40" s="78" cm="1">
        <f t="array" ref="Y40">INDEX(_xlfn._xlws.FILTER(CapacityTable[], (CapacityTable[Model] = $B$37) * (CapacityTable[T ext] = $D40) * (CapacityTable[T water out] = $W$8) * (CapacityTable[Type] = $C$37),Tableau2[]),1,7)</f>
        <v>1.9908226495624599</v>
      </c>
      <c r="Z40" s="75" cm="1">
        <f t="array" ref="Z40">INDEX(_xlfn._xlws.FILTER(CapacityTable[], (CapacityTable[Model] = $B$37) * (CapacityTable[T ext] = $D40) * (CapacityTable[T water out] = $Z$8) * (CapacityTable[Type] = $C$37),Tableau2[]),1,5)</f>
        <v>7.91442400962422</v>
      </c>
      <c r="AA40" s="77" cm="1">
        <f t="array" ref="AA40">INDEX(_xlfn._xlws.FILTER(CapacityTable[], (CapacityTable[Model] = $B$37) * (CapacityTable[T ext] = $D40) * (CapacityTable[T water out] = $Z$8) * (CapacityTable[Type] = $C$37),Tableau2[]),1,6)</f>
        <v>4.2908437056252735</v>
      </c>
      <c r="AB40" s="78" cm="1">
        <f t="array" ref="AB40">INDEX(_xlfn._xlws.FILTER(CapacityTable[], (CapacityTable[Model] = $B$37) * (CapacityTable[T ext] = $D40) * (CapacityTable[T water out] = $Z$8) * (CapacityTable[Type] = $C$37),Tableau2[]),1,7)</f>
        <v>1.8444913291175</v>
      </c>
      <c r="AC40" s="75" cm="1">
        <f t="array" ref="AC40">INDEX(_xlfn._xlws.FILTER(CapacityTable[], (CapacityTable[Model] = $B$37) * (CapacityTable[T ext] = $D40) * (CapacityTable[T water out] = $AC$8) * (CapacityTable[Type] = $C$37),Tableau2[]),1,5)</f>
        <v>7.5764338861703404</v>
      </c>
      <c r="AD40" s="77" cm="1">
        <f t="array" ref="AD40">INDEX(_xlfn._xlws.FILTER(CapacityTable[], (CapacityTable[Model] = $B$37) * (CapacityTable[T ext] = $D40) * (CapacityTable[T water out] = $AC$8) * (CapacityTable[Type] = $C$37),Tableau2[]),1,6)</f>
        <v>4.4152422312383139</v>
      </c>
      <c r="AE40" s="78" cm="1">
        <f t="array" ref="AE40">INDEX(_xlfn._xlws.FILTER(CapacityTable[], (CapacityTable[Model] = $B$37) * (CapacityTable[T ext] = $D40) * (CapacityTable[T water out] = $AC$8) * (CapacityTable[Type] = $C$37),Tableau2[]),1,7)</f>
        <v>1.7159724176776201</v>
      </c>
    </row>
    <row r="41" spans="1:31" x14ac:dyDescent="0.25">
      <c r="B41" s="277"/>
      <c r="C41" s="281"/>
      <c r="D41" s="48">
        <v>2</v>
      </c>
      <c r="E41" s="116" cm="1">
        <f t="array" ref="E41">INDEX(_xlfn._xlws.FILTER(CapacityTable[], (CapacityTable[Model] = $B$37) * (CapacityTable[T ext] = $D41) * (CapacityTable[T water out] = $E$8) * (CapacityTable[Type] = $C$37),Tableau2[]),1,5)</f>
        <v>10.577158004223099</v>
      </c>
      <c r="F41" s="79" cm="1">
        <f t="array" ref="F41">INDEX(_xlfn._xlws.FILTER(CapacityTable[], (CapacityTable[Model] = $B$37) * (CapacityTable[T ext] = $D41) * (CapacityTable[T water out] = $E$8) * (CapacityTable[Type] = $C$37),Tableau2[]),1,6)</f>
        <v>2.7278544634966342</v>
      </c>
      <c r="G41" s="80" cm="1">
        <f t="array" ref="G41">INDEX(_xlfn._xlws.FILTER(CapacityTable[], (CapacityTable[Model] = $B$37) * (CapacityTable[T ext] = $D41) * (CapacityTable[T water out] = $E$8) * (CapacityTable[Type] = $C$37),Tableau2[]),1,7)</f>
        <v>3.8774641923766802</v>
      </c>
      <c r="H41" s="76" cm="1">
        <f t="array" ref="H41">INDEX(_xlfn._xlws.FILTER(CapacityTable[], (CapacityTable[Model] = $B$37) * (CapacityTable[T ext] = $D41) * (CapacityTable[T water out] = $H$8) * (CapacityTable[Type] = $C$37),Tableau2[]),1,5)</f>
        <v>10.2630270549536</v>
      </c>
      <c r="I41" s="79" cm="1">
        <f t="array" ref="I41">INDEX(_xlfn._xlws.FILTER(CapacityTable[], (CapacityTable[Model] = $B$37) * (CapacityTable[T ext] = $D41) * (CapacityTable[T water out] = $H$8) * (CapacityTable[Type] = $C$37),Tableau2[]),1,6)</f>
        <v>3.111604101316209</v>
      </c>
      <c r="J41" s="80" cm="1">
        <f t="array" ref="J41">INDEX(_xlfn._xlws.FILTER(CapacityTable[], (CapacityTable[Model] = $B$37) * (CapacityTable[T ext] = $D41) * (CapacityTable[T water out] = $H$8) * (CapacityTable[Type] = $C$37),Tableau2[]),1,7)</f>
        <v>3.2983074712532798</v>
      </c>
      <c r="K41" s="116" cm="1">
        <f t="array" ref="K41">INDEX(_xlfn._xlws.FILTER(CapacityTable[], (CapacityTable[Model] = $B$37) * (CapacityTable[T ext] = $D41) * (CapacityTable[T water out] = $K$8) * (CapacityTable[Type] = $C$37),Tableau2[]),1,5)</f>
        <v>10.104142011752</v>
      </c>
      <c r="L41" s="79" cm="1">
        <f t="array" ref="L41">INDEX(_xlfn._xlws.FILTER(CapacityTable[], (CapacityTable[Model] = $B$37) * (CapacityTable[T ext] = $D41) * (CapacityTable[T water out] = $K$8) * (CapacityTable[Type] = $C$37),Tableau2[]),1,6)</f>
        <v>3.3306939165937473</v>
      </c>
      <c r="M41" s="80" cm="1">
        <f t="array" ref="M41">INDEX(_xlfn._xlws.FILTER(CapacityTable[], (CapacityTable[Model] = $B$37) * (CapacityTable[T ext] = $D41) * (CapacityTable[T water out] = $K$8) * (CapacityTable[Type] = $C$37),Tableau2[]),1,7)</f>
        <v>3.0336447193218401</v>
      </c>
      <c r="N41" s="76" cm="1">
        <f t="array" ref="N41">INDEX(_xlfn._xlws.FILTER(CapacityTable[], (CapacityTable[Model] = $B$37) * (CapacityTable[T ext] = $D41) * (CapacityTable[T water out] = $N$8) * (CapacityTable[Type] = $C$37),Tableau2[]),1,5)</f>
        <v>9.9448827651142686</v>
      </c>
      <c r="O41" s="79" cm="1">
        <f t="array" ref="O41">INDEX(_xlfn._xlws.FILTER(CapacityTable[], (CapacityTable[Model] = $B$37) * (CapacityTable[T ext] = $D41) * (CapacityTable[T water out] = $N$8) * (CapacityTable[Type] = $C$37),Tableau2[]),1,6)</f>
        <v>3.5680330229610533</v>
      </c>
      <c r="P41" s="80" cm="1">
        <f t="array" ref="P41">INDEX(_xlfn._xlws.FILTER(CapacityTable[], (CapacityTable[Model] = $B$37) * (CapacityTable[T ext] = $D41) * (CapacityTable[T water out] = $N$8) * (CapacityTable[Type] = $C$37),Tableau2[]),1,7)</f>
        <v>2.7872171308720599</v>
      </c>
      <c r="Q41" s="76" cm="1">
        <f t="array" ref="Q41">INDEX(_xlfn._xlws.FILTER(CapacityTable[], (CapacityTable[Model] = $B$37) * (CapacityTable[T ext] = $D41) * (CapacityTable[T water out] = $Q$8) * (CapacityTable[Type] = $C$37),Tableau2[]),1,5)</f>
        <v>9.829180786713799</v>
      </c>
      <c r="R41" s="79" cm="1">
        <f t="array" ref="R41">INDEX(_xlfn._xlws.FILTER(CapacityTable[], (CapacityTable[Model] = $B$37) * (CapacityTable[T ext] = $D41) * (CapacityTable[T water out] = $Q$8) * (CapacityTable[Type] = $C$37),Tableau2[]),1,6)</f>
        <v>3.7573682843811635</v>
      </c>
      <c r="S41" s="80" cm="1">
        <f t="array" ref="S41">INDEX(_xlfn._xlws.FILTER(CapacityTable[], (CapacityTable[Model] = $B$37) * (CapacityTable[T ext] = $D41) * (CapacityTable[T water out] = $Q$8) * (CapacityTable[Type] = $C$37),Tableau2[]),1,7)</f>
        <v>2.61597481076643</v>
      </c>
      <c r="T41" s="76" cm="1">
        <f t="array" ref="T41">INDEX(_xlfn._xlws.FILTER(CapacityTable[], (CapacityTable[Model] = $B$37) * (CapacityTable[T ext] = $D41) * (CapacityTable[T water out] = $T$8) * (CapacityTable[Type] = $C$37),Tableau2[]),1,5)</f>
        <v>9.6730678524981109</v>
      </c>
      <c r="U41" s="79" cm="1">
        <f t="array" ref="U41">INDEX(_xlfn._xlws.FILTER(CapacityTable[], (CapacityTable[Model] = $B$37) * (CapacityTable[T ext] = $D41) * (CapacityTable[T water out] = $T$8) * (CapacityTable[Type] = $C$37),Tableau2[]),1,6)</f>
        <v>4.024083742087158</v>
      </c>
      <c r="V41" s="80" cm="1">
        <f t="array" ref="V41">INDEX(_xlfn._xlws.FILTER(CapacityTable[], (CapacityTable[Model] = $B$37) * (CapacityTable[T ext] = $D41) * (CapacityTable[T water out] = $T$8) * (CapacityTable[Type] = $C$37),Tableau2[]),1,7)</f>
        <v>2.4037938751943102</v>
      </c>
      <c r="W41" s="76" cm="1">
        <f t="array" ref="W41">INDEX(_xlfn._xlws.FILTER(CapacityTable[], (CapacityTable[Model] = $B$37) * (CapacityTable[T ext] = $D41) * (CapacityTable[T water out] = $W$8) * (CapacityTable[Type] = $C$37),Tableau2[]),1,5)</f>
        <v>9.5385853975467505</v>
      </c>
      <c r="X41" s="79" cm="1">
        <f t="array" ref="X41">INDEX(_xlfn._xlws.FILTER(CapacityTable[], (CapacityTable[Model] = $B$37) * (CapacityTable[T ext] = $D41) * (CapacityTable[T water out] = $W$8) * (CapacityTable[Type] = $C$37),Tableau2[]),1,6)</f>
        <v>4.2672645637611435</v>
      </c>
      <c r="Y41" s="80" cm="1">
        <f t="array" ref="Y41">INDEX(_xlfn._xlws.FILTER(CapacityTable[], (CapacityTable[Model] = $B$37) * (CapacityTable[T ext] = $D41) * (CapacityTable[T water out] = $W$8) * (CapacityTable[Type] = $C$37),Tableau2[]),1,7)</f>
        <v>2.2352927162171299</v>
      </c>
      <c r="Z41" s="76" cm="1">
        <f t="array" ref="Z41">INDEX(_xlfn._xlws.FILTER(CapacityTable[], (CapacityTable[Model] = $B$37) * (CapacityTable[T ext] = $D41) * (CapacityTable[T water out] = $Z$8) * (CapacityTable[Type] = $C$37),Tableau2[]),1,5)</f>
        <v>9.3855083644907307</v>
      </c>
      <c r="AA41" s="79" cm="1">
        <f t="array" ref="AA41">INDEX(_xlfn._xlws.FILTER(CapacityTable[], (CapacityTable[Model] = $B$37) * (CapacityTable[T ext] = $D41) * (CapacityTable[T water out] = $Z$8) * (CapacityTable[Type] = $C$37),Tableau2[]),1,6)</f>
        <v>4.561360621530743</v>
      </c>
      <c r="AB41" s="80" cm="1">
        <f t="array" ref="AB41">INDEX(_xlfn._xlws.FILTER(CapacityTable[], (CapacityTable[Model] = $B$37) * (CapacityTable[T ext] = $D41) * (CapacityTable[T water out] = $Z$8) * (CapacityTable[Type] = $C$37),Tableau2[]),1,7)</f>
        <v>2.05761156445049</v>
      </c>
      <c r="AC41" s="76" cm="1">
        <f t="array" ref="AC41">INDEX(_xlfn._xlws.FILTER(CapacityTable[], (CapacityTable[Model] = $B$37) * (CapacityTable[T ext] = $D41) * (CapacityTable[T water out] = $AC$8) * (CapacityTable[Type] = $C$37),Tableau2[]),1,5)</f>
        <v>8.9694794276477889</v>
      </c>
      <c r="AD41" s="79" cm="1">
        <f t="array" ref="AD41">INDEX(_xlfn._xlws.FILTER(CapacityTable[], (CapacityTable[Model] = $B$37) * (CapacityTable[T ext] = $D41) * (CapacityTable[T water out] = $AC$8) * (CapacityTable[Type] = $C$37),Tableau2[]),1,6)</f>
        <v>4.6942792869565579</v>
      </c>
      <c r="AE41" s="80" cm="1">
        <f t="array" ref="AE41">INDEX(_xlfn._xlws.FILTER(CapacityTable[], (CapacityTable[Model] = $B$37) * (CapacityTable[T ext] = $D41) * (CapacityTable[T water out] = $AC$8) * (CapacityTable[Type] = $C$37),Tableau2[]),1,7)</f>
        <v>1.9107255617641301</v>
      </c>
    </row>
    <row r="42" spans="1:31" x14ac:dyDescent="0.25">
      <c r="B42" s="277"/>
      <c r="C42" s="281"/>
      <c r="D42" s="48">
        <v>7</v>
      </c>
      <c r="E42" s="116" cm="1">
        <f t="array" ref="E42">INDEX(_xlfn._xlws.FILTER(CapacityTable[], (CapacityTable[Model] = $B$37) * (CapacityTable[T ext] = $D42) * (CapacityTable[T water out] = $E$8) * (CapacityTable[Type] = $C$37),Tableau2[]),1,5)</f>
        <v>10.766846524058192</v>
      </c>
      <c r="F42" s="79" cm="1">
        <f t="array" ref="F42">INDEX(_xlfn._xlws.FILTER(CapacityTable[], (CapacityTable[Model] = $B$37) * (CapacityTable[T ext] = $D42) * (CapacityTable[T water out] = $E$8) * (CapacityTable[Type] = $C$37),Tableau2[]),1,6)</f>
        <v>2.357928387710007</v>
      </c>
      <c r="G42" s="80" cm="1">
        <f t="array" ref="G42">INDEX(_xlfn._xlws.FILTER(CapacityTable[], (CapacityTable[Model] = $B$37) * (CapacityTable[T ext] = $D42) * (CapacityTable[T water out] = $E$8) * (CapacityTable[Type] = $C$37),Tableau2[]),1,7)</f>
        <v>4.566231349593628</v>
      </c>
      <c r="H42" s="76" cm="1">
        <f t="array" ref="H42">INDEX(_xlfn._xlws.FILTER(CapacityTable[], (CapacityTable[Model] = $B$37) * (CapacityTable[T ext] = $D42) * (CapacityTable[T water out] = $H$8) * (CapacityTable[Type] = $C$37),Tableau2[]),1,5)</f>
        <v>10.766936508077356</v>
      </c>
      <c r="I42" s="79" cm="1">
        <f t="array" ref="I42">INDEX(_xlfn._xlws.FILTER(CapacityTable[], (CapacityTable[Model] = $B$37) * (CapacityTable[T ext] = $D42) * (CapacityTable[T water out] = $H$8) * (CapacityTable[Type] = $C$37),Tableau2[]),1,6)</f>
        <v>2.9036648896913095</v>
      </c>
      <c r="J42" s="80" cm="1">
        <f t="array" ref="J42">INDEX(_xlfn._xlws.FILTER(CapacityTable[], (CapacityTable[Model] = $B$37) * (CapacityTable[T ext] = $D42) * (CapacityTable[T water out] = $H$8) * (CapacityTable[Type] = $C$37),Tableau2[]),1,7)</f>
        <v>3.7080506591178972</v>
      </c>
      <c r="K42" s="116" cm="1">
        <f t="array" ref="K42">INDEX(_xlfn._xlws.FILTER(CapacityTable[], (CapacityTable[Model] = $B$37) * (CapacityTable[T ext] = $D42) * (CapacityTable[T water out] = $K$8) * (CapacityTable[Type] = $C$37),Tableau2[]),1,5)</f>
        <v>10.767002795020684</v>
      </c>
      <c r="L42" s="79" cm="1">
        <f t="array" ref="L42">INDEX(_xlfn._xlws.FILTER(CapacityTable[], (CapacityTable[Model] = $B$37) * (CapacityTable[T ext] = $D42) * (CapacityTable[T water out] = $K$8) * (CapacityTable[Type] = $C$37),Tableau2[]),1,6)</f>
        <v>3.2181200147033291</v>
      </c>
      <c r="M42" s="80" cm="1">
        <f t="array" ref="M42">INDEX(_xlfn._xlws.FILTER(CapacityTable[], (CapacityTable[Model] = $B$37) * (CapacityTable[T ext] = $D42) * (CapacityTable[T water out] = $K$8) * (CapacityTable[Type] = $C$37),Tableau2[]),1,7)</f>
        <v>3.3457430878361039</v>
      </c>
      <c r="N42" s="76" cm="1">
        <f t="array" ref="N42">INDEX(_xlfn._xlws.FILTER(CapacityTable[], (CapacityTable[Model] = $B$37) * (CapacityTable[T ext] = $D42) * (CapacityTable[T water out] = $N$8) * (CapacityTable[Type] = $C$37),Tableau2[]),1,5)</f>
        <v>10.767110358973293</v>
      </c>
      <c r="O42" s="79" cm="1">
        <f t="array" ref="O42">INDEX(_xlfn._xlws.FILTER(CapacityTable[], (CapacityTable[Model] = $B$37) * (CapacityTable[T ext] = $D42) * (CapacityTable[T water out] = $N$8) * (CapacityTable[Type] = $C$37),Tableau2[]),1,6)</f>
        <v>3.5596587163591922</v>
      </c>
      <c r="P42" s="80" cm="1">
        <f t="array" ref="P42">INDEX(_xlfn._xlws.FILTER(CapacityTable[], (CapacityTable[Model] = $B$37) * (CapacityTable[T ext] = $D42) * (CapacityTable[T water out] = $N$8) * (CapacityTable[Type] = $C$37),Tableau2[]),1,7)</f>
        <v>3.0247591741002235</v>
      </c>
      <c r="Q42" s="76" cm="1">
        <f t="array" ref="Q42">INDEX(_xlfn._xlws.FILTER(CapacityTable[], (CapacityTable[Model] = $B$37) * (CapacityTable[T ext] = $D42) * (CapacityTable[T water out] = $Q$8) * (CapacityTable[Type] = $C$37),Tableau2[]),1,5)</f>
        <v>10.776769138147589</v>
      </c>
      <c r="R42" s="79" cm="1">
        <f t="array" ref="R42">INDEX(_xlfn._xlws.FILTER(CapacityTable[], (CapacityTable[Model] = $B$37) * (CapacityTable[T ext] = $D42) * (CapacityTable[T water out] = $Q$8) * (CapacityTable[Type] = $C$37),Tableau2[]),1,6)</f>
        <v>3.8459010466419405</v>
      </c>
      <c r="S42" s="80" cm="1">
        <f t="array" ref="S42">INDEX(_xlfn._xlws.FILTER(CapacityTable[], (CapacityTable[Model] = $B$37) * (CapacityTable[T ext] = $D42) * (CapacityTable[T water out] = $Q$8) * (CapacityTable[Type] = $C$37),Tableau2[]),1,7)</f>
        <v>2.8021441548937811</v>
      </c>
      <c r="T42" s="76" cm="1">
        <f t="array" ref="T42">INDEX(_xlfn._xlws.FILTER(CapacityTable[], (CapacityTable[Model] = $B$37) * (CapacityTable[T ext] = $D42) * (CapacityTable[T water out] = $T$8) * (CapacityTable[Type] = $C$37),Tableau2[]),1,5)</f>
        <v>10.624162269745401</v>
      </c>
      <c r="U42" s="79" cm="1">
        <f t="array" ref="U42">INDEX(_xlfn._xlws.FILTER(CapacityTable[], (CapacityTable[Model] = $B$37) * (CapacityTable[T ext] = $D42) * (CapacityTable[T water out] = $T$8) * (CapacityTable[Type] = $C$37),Tableau2[]),1,6)</f>
        <v>4.1393154557664342</v>
      </c>
      <c r="V42" s="80" cm="1">
        <f t="array" ref="V42">INDEX(_xlfn._xlws.FILTER(CapacityTable[], (CapacityTable[Model] = $B$37) * (CapacityTable[T ext] = $D42) * (CapacityTable[T water out] = $T$8) * (CapacityTable[Type] = $C$37),Tableau2[]),1,7)</f>
        <v>2.5666471626232301</v>
      </c>
      <c r="W42" s="76" cm="1">
        <f t="array" ref="W42">INDEX(_xlfn._xlws.FILTER(CapacityTable[], (CapacityTable[Model] = $B$37) * (CapacityTable[T ext] = $D42) * (CapacityTable[T water out] = $W$8) * (CapacityTable[Type] = $C$37),Tableau2[]),1,5)</f>
        <v>10.4554262276174</v>
      </c>
      <c r="X42" s="79" cm="1">
        <f t="array" ref="X42">INDEX(_xlfn._xlws.FILTER(CapacityTable[], (CapacityTable[Model] = $B$37) * (CapacityTable[T ext] = $D42) * (CapacityTable[T water out] = $W$8) * (CapacityTable[Type] = $C$37),Tableau2[]),1,6)</f>
        <v>4.3945643045682221</v>
      </c>
      <c r="Y42" s="80" cm="1">
        <f t="array" ref="Y42">INDEX(_xlfn._xlws.FILTER(CapacityTable[], (CapacityTable[Model] = $B$37) * (CapacityTable[T ext] = $D42) * (CapacityTable[T water out] = $W$8) * (CapacityTable[Type] = $C$37),Tableau2[]),1,7)</f>
        <v>2.37917242825388</v>
      </c>
      <c r="Z42" s="76" cm="1">
        <f t="array" ref="Z42">INDEX(_xlfn._xlws.FILTER(CapacityTable[], (CapacityTable[Model] = $B$37) * (CapacityTable[T ext] = $D42) * (CapacityTable[T water out] = $Z$8) * (CapacityTable[Type] = $C$37),Tableau2[]),1,5)</f>
        <v>10.2648392032586</v>
      </c>
      <c r="AA42" s="79" cm="1">
        <f t="array" ref="AA42">INDEX(_xlfn._xlws.FILTER(CapacityTable[], (CapacityTable[Model] = $B$37) * (CapacityTable[T ext] = $D42) * (CapacityTable[T water out] = $Z$8) * (CapacityTable[Type] = $C$37),Tableau2[]),1,6)</f>
        <v>4.7030284717091542</v>
      </c>
      <c r="AB42" s="80" cm="1">
        <f t="array" ref="AB42">INDEX(_xlfn._xlws.FILTER(CapacityTable[], (CapacityTable[Model] = $B$37) * (CapacityTable[T ext] = $D42) * (CapacityTable[T water out] = $Z$8) * (CapacityTable[Type] = $C$37),Tableau2[]),1,7)</f>
        <v>2.18260196913675</v>
      </c>
      <c r="AC42" s="76" cm="1">
        <f t="array" ref="AC42">INDEX(_xlfn._xlws.FILTER(CapacityTable[], (CapacityTable[Model] = $B$37) * (CapacityTable[T ext] = $D42) * (CapacityTable[T water out] = $AC$8) * (CapacityTable[Type] = $C$37),Tableau2[]),1,5)</f>
        <v>9.7982411928884794</v>
      </c>
      <c r="AD42" s="79" cm="1">
        <f t="array" ref="AD42">INDEX(_xlfn._xlws.FILTER(CapacityTable[], (CapacityTable[Model] = $B$37) * (CapacityTable[T ext] = $D42) * (CapacityTable[T water out] = $AC$8) * (CapacityTable[Type] = $C$37),Tableau2[]),1,6)</f>
        <v>4.8444185311564221</v>
      </c>
      <c r="AE42" s="80" cm="1">
        <f t="array" ref="AE42">INDEX(_xlfn._xlws.FILTER(CapacityTable[], (CapacityTable[Model] = $B$37) * (CapacityTable[T ext] = $D42) * (CapacityTable[T water out] = $AC$8) * (CapacityTable[Type] = $C$37),Tableau2[]),1,7)</f>
        <v>2.0225835422501199</v>
      </c>
    </row>
    <row r="43" spans="1:31" x14ac:dyDescent="0.25">
      <c r="B43" s="277"/>
      <c r="C43" s="281"/>
      <c r="D43" s="48">
        <v>12</v>
      </c>
      <c r="E43" s="116" cm="1">
        <f t="array" ref="E43">INDEX(_xlfn._xlws.FILTER(CapacityTable[], (CapacityTable[Model] = $B$37) * (CapacityTable[T ext] = $D43) * (CapacityTable[T water out] = $E$8) * (CapacityTable[Type] = $C$37),Tableau2[]),1,5)</f>
        <v>10.766708077760137</v>
      </c>
      <c r="F43" s="79" cm="1">
        <f t="array" ref="F43">INDEX(_xlfn._xlws.FILTER(CapacityTable[], (CapacityTable[Model] = $B$37) * (CapacityTable[T ext] = $D43) * (CapacityTable[T water out] = $E$8) * (CapacityTable[Type] = $C$37),Tableau2[]),1,6)</f>
        <v>1.953279796607406</v>
      </c>
      <c r="G43" s="80" cm="1">
        <f t="array" ref="G43">INDEX(_xlfn._xlws.FILTER(CapacityTable[], (CapacityTable[Model] = $B$37) * (CapacityTable[T ext] = $D43) * (CapacityTable[T water out] = $E$8) * (CapacityTable[Type] = $C$37),Tableau2[]),1,7)</f>
        <v>5.512117668170486</v>
      </c>
      <c r="H43" s="76" cm="1">
        <f t="array" ref="H43">INDEX(_xlfn._xlws.FILTER(CapacityTable[], (CapacityTable[Model] = $B$37) * (CapacityTable[T ext] = $D43) * (CapacityTable[T water out] = $H$8) * (CapacityTable[Type] = $C$37),Tableau2[]),1,5)</f>
        <v>10.766796126144314</v>
      </c>
      <c r="I43" s="79" cm="1">
        <f t="array" ref="I43">INDEX(_xlfn._xlws.FILTER(CapacityTable[], (CapacityTable[Model] = $B$37) * (CapacityTable[T ext] = $D43) * (CapacityTable[T water out] = $H$8) * (CapacityTable[Type] = $C$37),Tableau2[]),1,6)</f>
        <v>2.4597800916790149</v>
      </c>
      <c r="J43" s="80" cm="1">
        <f t="array" ref="J43">INDEX(_xlfn._xlws.FILTER(CapacityTable[], (CapacityTable[Model] = $B$37) * (CapacityTable[T ext] = $D43) * (CapacityTable[T water out] = $H$8) * (CapacityTable[Type] = $C$37),Tableau2[]),1,7)</f>
        <v>4.3771376809522167</v>
      </c>
      <c r="K43" s="116" cm="1">
        <f t="array" ref="K43">INDEX(_xlfn._xlws.FILTER(CapacityTable[], (CapacityTable[Model] = $B$37) * (CapacityTable[T ext] = $D43) * (CapacityTable[T water out] = $K$8) * (CapacityTable[Type] = $C$37),Tableau2[]),1,5)</f>
        <v>10.767074987143936</v>
      </c>
      <c r="L43" s="79" cm="1">
        <f t="array" ref="L43">INDEX(_xlfn._xlws.FILTER(CapacityTable[], (CapacityTable[Model] = $B$37) * (CapacityTable[T ext] = $D43) * (CapacityTable[T water out] = $K$8) * (CapacityTable[Type] = $C$37),Tableau2[]),1,6)</f>
        <v>2.7560909831068754</v>
      </c>
      <c r="M43" s="80" cm="1">
        <f t="array" ref="M43">INDEX(_xlfn._xlws.FILTER(CapacityTable[], (CapacityTable[Model] = $B$37) * (CapacityTable[T ext] = $D43) * (CapacityTable[T water out] = $K$8) * (CapacityTable[Type] = $C$37),Tableau2[]),1,7)</f>
        <v>3.9066471510336243</v>
      </c>
      <c r="N43" s="76" cm="1">
        <f t="array" ref="N43">INDEX(_xlfn._xlws.FILTER(CapacityTable[], (CapacityTable[Model] = $B$37) * (CapacityTable[T ext] = $D43) * (CapacityTable[T water out] = $N$8) * (CapacityTable[Type] = $C$37),Tableau2[]),1,5)</f>
        <v>10.766942488866041</v>
      </c>
      <c r="O43" s="79" cm="1">
        <f t="array" ref="O43">INDEX(_xlfn._xlws.FILTER(CapacityTable[], (CapacityTable[Model] = $B$37) * (CapacityTable[T ext] = $D43) * (CapacityTable[T water out] = $N$8) * (CapacityTable[Type] = $C$37),Tableau2[]),1,6)</f>
        <v>3.0824055031201705</v>
      </c>
      <c r="P43" s="80" cm="1">
        <f t="array" ref="P43">INDEX(_xlfn._xlws.FILTER(CapacityTable[], (CapacityTable[Model] = $B$37) * (CapacityTable[T ext] = $D43) * (CapacityTable[T water out] = $N$8) * (CapacityTable[Type] = $C$37),Tableau2[]),1,7)</f>
        <v>3.4930324637583161</v>
      </c>
      <c r="Q43" s="76" cm="1">
        <f t="array" ref="Q43">INDEX(_xlfn._xlws.FILTER(CapacityTable[], (CapacityTable[Model] = $B$37) * (CapacityTable[T ext] = $D43) * (CapacityTable[T water out] = $Q$8) * (CapacityTable[Type] = $C$37),Tableau2[]),1,5)</f>
        <v>10.776721280664573</v>
      </c>
      <c r="R43" s="79" cm="1">
        <f t="array" ref="R43">INDEX(_xlfn._xlws.FILTER(CapacityTable[], (CapacityTable[Model] = $B$37) * (CapacityTable[T ext] = $D43) * (CapacityTable[T water out] = $Q$8) * (CapacityTable[Type] = $C$37),Tableau2[]),1,6)</f>
        <v>3.3593898935023052</v>
      </c>
      <c r="S43" s="80" cm="1">
        <f t="array" ref="S43">INDEX(_xlfn._xlws.FILTER(CapacityTable[], (CapacityTable[Model] = $B$37) * (CapacityTable[T ext] = $D43) * (CapacityTable[T water out] = $Q$8) * (CapacityTable[Type] = $C$37),Tableau2[]),1,7)</f>
        <v>3.2079400195579524</v>
      </c>
      <c r="T43" s="76" cm="1">
        <f t="array" ref="T43">INDEX(_xlfn._xlws.FILTER(CapacityTable[], (CapacityTable[Model] = $B$37) * (CapacityTable[T ext] = $D43) * (CapacityTable[T water out] = $T$8) * (CapacityTable[Type] = $C$37),Tableau2[]),1,5)</f>
        <v>10.776707146725073</v>
      </c>
      <c r="U43" s="79" cm="1">
        <f t="array" ref="U43">INDEX(_xlfn._xlws.FILTER(CapacityTable[], (CapacityTable[Model] = $B$37) * (CapacityTable[T ext] = $D43) * (CapacityTable[T water out] = $T$8) * (CapacityTable[Type] = $C$37),Tableau2[]),1,6)</f>
        <v>3.7420774158993413</v>
      </c>
      <c r="V43" s="80" cm="1">
        <f t="array" ref="V43">INDEX(_xlfn._xlws.FILTER(CapacityTable[], (CapacityTable[Model] = $B$37) * (CapacityTable[T ext] = $D43) * (CapacityTable[T water out] = $T$8) * (CapacityTable[Type] = $C$37),Tableau2[]),1,7)</f>
        <v>2.879872848417564</v>
      </c>
      <c r="W43" s="76" cm="1">
        <f t="array" ref="W43">INDEX(_xlfn._xlws.FILTER(CapacityTable[], (CapacityTable[Model] = $B$37) * (CapacityTable[T ext] = $D43) * (CapacityTable[T water out] = $W$8) * (CapacityTable[Type] = $C$37),Tableau2[]),1,5)</f>
        <v>10.775548992280513</v>
      </c>
      <c r="X43" s="79" cm="1">
        <f t="array" ref="X43">INDEX(_xlfn._xlws.FILTER(CapacityTable[], (CapacityTable[Model] = $B$37) * (CapacityTable[T ext] = $D43) * (CapacityTable[T water out] = $W$8) * (CapacityTable[Type] = $C$37),Tableau2[]),1,6)</f>
        <v>4.1067263806858678</v>
      </c>
      <c r="Y43" s="80" cm="1">
        <f t="array" ref="Y43">INDEX(_xlfn._xlws.FILTER(CapacityTable[], (CapacityTable[Model] = $B$37) * (CapacityTable[T ext] = $D43) * (CapacityTable[T water out] = $W$8) * (CapacityTable[Type] = $C$37),Tableau2[]),1,7)</f>
        <v>2.6238779975599145</v>
      </c>
      <c r="Z43" s="76" cm="1">
        <f t="array" ref="Z43">INDEX(_xlfn._xlws.FILTER(CapacityTable[], (CapacityTable[Model] = $B$37) * (CapacityTable[T ext] = $D43) * (CapacityTable[T water out] = $Z$8) * (CapacityTable[Type] = $C$37),Tableau2[]),1,5)</f>
        <v>10.775550385703131</v>
      </c>
      <c r="AA43" s="79" cm="1">
        <f t="array" ref="AA43">INDEX(_xlfn._xlws.FILTER(CapacityTable[], (CapacityTable[Model] = $B$37) * (CapacityTable[T ext] = $D43) * (CapacityTable[T water out] = $Z$8) * (CapacityTable[Type] = $C$37),Tableau2[]),1,6)</f>
        <v>4.5538758762875924</v>
      </c>
      <c r="AB43" s="80" cm="1">
        <f t="array" ref="AB43">INDEX(_xlfn._xlws.FILTER(CapacityTable[], (CapacityTable[Model] = $B$37) * (CapacityTable[T ext] = $D43) * (CapacityTable[T water out] = $Z$8) * (CapacityTable[Type] = $C$37),Tableau2[]),1,7)</f>
        <v>2.3662371743183233</v>
      </c>
      <c r="AC43" s="76" cm="1">
        <f t="array" ref="AC43">INDEX(_xlfn._xlws.FILTER(CapacityTable[], (CapacityTable[Model] = $B$37) * (CapacityTable[T ext] = $D43) * (CapacityTable[T water out] = $AC$8) * (CapacityTable[Type] = $C$37),Tableau2[]),1,5)</f>
        <v>10.700893401462102</v>
      </c>
      <c r="AD43" s="79" cm="1">
        <f t="array" ref="AD43">INDEX(_xlfn._xlws.FILTER(CapacityTable[], (CapacityTable[Model] = $B$37) * (CapacityTable[T ext] = $D43) * (CapacityTable[T water out] = $AC$8) * (CapacityTable[Type] = $C$37),Tableau2[]),1,6)</f>
        <v>4.9868135293371152</v>
      </c>
      <c r="AE43" s="80" cm="1">
        <f t="array" ref="AE43">INDEX(_xlfn._xlws.FILTER(CapacityTable[], (CapacityTable[Model] = $B$37) * (CapacityTable[T ext] = $D43) * (CapacityTable[T water out] = $AC$8) * (CapacityTable[Type] = $C$37),Tableau2[]),1,7)</f>
        <v>2.1458378859585201</v>
      </c>
    </row>
    <row r="44" spans="1:31" x14ac:dyDescent="0.25">
      <c r="B44" s="277"/>
      <c r="C44" s="281"/>
      <c r="D44" s="48">
        <v>15</v>
      </c>
      <c r="E44" s="116" cm="1">
        <f t="array" ref="E44">INDEX(_xlfn._xlws.FILTER(CapacityTable[], (CapacityTable[Model] = $B$37) * (CapacityTable[T ext] = $D44) * (CapacityTable[T water out] = $E$8) * (CapacityTable[Type] = $C$37),Tableau2[]),1,5)</f>
        <v>10.766877983843578</v>
      </c>
      <c r="F44" s="79" cm="1">
        <f t="array" ref="F44">INDEX(_xlfn._xlws.FILTER(CapacityTable[], (CapacityTable[Model] = $B$37) * (CapacityTable[T ext] = $D44) * (CapacityTable[T water out] = $E$8) * (CapacityTable[Type] = $C$37),Tableau2[]),1,6)</f>
        <v>1.8893374284789513</v>
      </c>
      <c r="G44" s="80" cm="1">
        <f t="array" ref="G44">INDEX(_xlfn._xlws.FILTER(CapacityTable[], (CapacityTable[Model] = $B$37) * (CapacityTable[T ext] = $D44) * (CapacityTable[T water out] = $E$8) * (CapacityTable[Type] = $C$37),Tableau2[]),1,7)</f>
        <v>5.6987586344021501</v>
      </c>
      <c r="H44" s="76" cm="1">
        <f t="array" ref="H44">INDEX(_xlfn._xlws.FILTER(CapacityTable[], (CapacityTable[Model] = $B$37) * (CapacityTable[T ext] = $D44) * (CapacityTable[T water out] = $H$8) * (CapacityTable[Type] = $C$37),Tableau2[]),1,5)</f>
        <v>10.76702257888696</v>
      </c>
      <c r="I44" s="79" cm="1">
        <f t="array" ref="I44">INDEX(_xlfn._xlws.FILTER(CapacityTable[], (CapacityTable[Model] = $B$37) * (CapacityTable[T ext] = $D44) * (CapacityTable[T water out] = $H$8) * (CapacityTable[Type] = $C$37),Tableau2[]),1,6)</f>
        <v>2.3859129220671136</v>
      </c>
      <c r="J44" s="80" cm="1">
        <f t="array" ref="J44">INDEX(_xlfn._xlws.FILTER(CapacityTable[], (CapacityTable[Model] = $B$37) * (CapacityTable[T ext] = $D44) * (CapacityTable[T water out] = $H$8) * (CapacityTable[Type] = $C$37),Tableau2[]),1,7)</f>
        <v>4.5127475019325516</v>
      </c>
      <c r="K44" s="116" cm="1">
        <f t="array" ref="K44">INDEX(_xlfn._xlws.FILTER(CapacityTable[], (CapacityTable[Model] = $B$37) * (CapacityTable[T ext] = $D44) * (CapacityTable[T water out] = $K$8) * (CapacityTable[Type] = $C$37),Tableau2[]),1,5)</f>
        <v>10.766902952986444</v>
      </c>
      <c r="L44" s="79" cm="1">
        <f t="array" ref="L44">INDEX(_xlfn._xlws.FILTER(CapacityTable[], (CapacityTable[Model] = $B$37) * (CapacityTable[T ext] = $D44) * (CapacityTable[T water out] = $K$8) * (CapacityTable[Type] = $C$37),Tableau2[]),1,6)</f>
        <v>2.6806443379891047</v>
      </c>
      <c r="M44" s="80" cm="1">
        <f t="array" ref="M44">INDEX(_xlfn._xlws.FILTER(CapacityTable[], (CapacityTable[Model] = $B$37) * (CapacityTable[T ext] = $D44) * (CapacityTable[T water out] = $K$8) * (CapacityTable[Type] = $C$37),Tableau2[]),1,7)</f>
        <v>4.01653542784541</v>
      </c>
      <c r="N44" s="76" cm="1">
        <f t="array" ref="N44">INDEX(_xlfn._xlws.FILTER(CapacityTable[], (CapacityTable[Model] = $B$37) * (CapacityTable[T ext] = $D44) * (CapacityTable[T water out] = $N$8) * (CapacityTable[Type] = $C$37),Tableau2[]),1,5)</f>
        <v>10.767172132515556</v>
      </c>
      <c r="O44" s="79" cm="1">
        <f t="array" ref="O44">INDEX(_xlfn._xlws.FILTER(CapacityTable[], (CapacityTable[Model] = $B$37) * (CapacityTable[T ext] = $D44) * (CapacityTable[T water out] = $N$8) * (CapacityTable[Type] = $C$37),Tableau2[]),1,6)</f>
        <v>3.0050857125368102</v>
      </c>
      <c r="P44" s="80" cm="1">
        <f t="array" ref="P44">INDEX(_xlfn._xlws.FILTER(CapacityTable[], (CapacityTable[Model] = $B$37) * (CapacityTable[T ext] = $D44) * (CapacityTable[T water out] = $N$8) * (CapacityTable[Type] = $C$37),Tableau2[]),1,7)</f>
        <v>3.5829833696910454</v>
      </c>
      <c r="Q44" s="76" cm="1">
        <f t="array" ref="Q44">INDEX(_xlfn._xlws.FILTER(CapacityTable[], (CapacityTable[Model] = $B$37) * (CapacityTable[T ext] = $D44) * (CapacityTable[T water out] = $Q$8) * (CapacityTable[Type] = $C$37),Tableau2[]),1,5)</f>
        <v>10.776666553281482</v>
      </c>
      <c r="R44" s="79" cm="1">
        <f t="array" ref="R44">INDEX(_xlfn._xlws.FILTER(CapacityTable[], (CapacityTable[Model] = $B$37) * (CapacityTable[T ext] = $D44) * (CapacityTable[T water out] = $Q$8) * (CapacityTable[Type] = $C$37),Tableau2[]),1,6)</f>
        <v>3.276894957708222</v>
      </c>
      <c r="S44" s="80" cm="1">
        <f t="array" ref="S44">INDEX(_xlfn._xlws.FILTER(CapacityTable[], (CapacityTable[Model] = $B$37) * (CapacityTable[T ext] = $D44) * (CapacityTable[T water out] = $Q$8) * (CapacityTable[Type] = $C$37),Tableau2[]),1,7)</f>
        <v>3.288682332624544</v>
      </c>
      <c r="T44" s="76" cm="1">
        <f t="array" ref="T44">INDEX(_xlfn._xlws.FILTER(CapacityTable[], (CapacityTable[Model] = $B$37) * (CapacityTable[T ext] = $D44) * (CapacityTable[T water out] = $T$8) * (CapacityTable[Type] = $C$37),Tableau2[]),1,5)</f>
        <v>10.776751786995787</v>
      </c>
      <c r="U44" s="79" cm="1">
        <f t="array" ref="U44">INDEX(_xlfn._xlws.FILTER(CapacityTable[], (CapacityTable[Model] = $B$37) * (CapacityTable[T ext] = $D44) * (CapacityTable[T water out] = $T$8) * (CapacityTable[Type] = $C$37),Tableau2[]),1,6)</f>
        <v>3.6589915885313284</v>
      </c>
      <c r="V44" s="80" cm="1">
        <f t="array" ref="V44">INDEX(_xlfn._xlws.FILTER(CapacityTable[], (CapacityTable[Model] = $B$37) * (CapacityTable[T ext] = $D44) * (CapacityTable[T water out] = $T$8) * (CapacityTable[Type] = $C$37),Tableau2[]),1,7)</f>
        <v>2.9452791913417418</v>
      </c>
      <c r="W44" s="76" cm="1">
        <f t="array" ref="W44">INDEX(_xlfn._xlws.FILTER(CapacityTable[], (CapacityTable[Model] = $B$37) * (CapacityTable[T ext] = $D44) * (CapacityTable[T water out] = $W$8) * (CapacityTable[Type] = $C$37),Tableau2[]),1,5)</f>
        <v>10.775537857222213</v>
      </c>
      <c r="X44" s="79" cm="1">
        <f t="array" ref="X44">INDEX(_xlfn._xlws.FILTER(CapacityTable[], (CapacityTable[Model] = $B$37) * (CapacityTable[T ext] = $D44) * (CapacityTable[T water out] = $W$8) * (CapacityTable[Type] = $C$37),Tableau2[]),1,6)</f>
        <v>4.020963935260558</v>
      </c>
      <c r="Y44" s="80" cm="1">
        <f t="array" ref="Y44">INDEX(_xlfn._xlws.FILTER(CapacityTable[], (CapacityTable[Model] = $B$37) * (CapacityTable[T ext] = $D44) * (CapacityTable[T water out] = $W$8) * (CapacityTable[Type] = $C$37),Tableau2[]),1,7)</f>
        <v>2.6798394690212408</v>
      </c>
      <c r="Z44" s="76" cm="1">
        <f t="array" ref="Z44">INDEX(_xlfn._xlws.FILTER(CapacityTable[], (CapacityTable[Model] = $B$37) * (CapacityTable[T ext] = $D44) * (CapacityTable[T water out] = $Z$8) * (CapacityTable[Type] = $C$37),Tableau2[]),1,5)</f>
        <v>10.775548924337564</v>
      </c>
      <c r="AA44" s="79" cm="1">
        <f t="array" ref="AA44">INDEX(_xlfn._xlws.FILTER(CapacityTable[], (CapacityTable[Model] = $B$37) * (CapacityTable[T ext] = $D44) * (CapacityTable[T water out] = $Z$8) * (CapacityTable[Type] = $C$37),Tableau2[]),1,6)</f>
        <v>4.4673315371275786</v>
      </c>
      <c r="AB44" s="80" cm="1">
        <f t="array" ref="AB44">INDEX(_xlfn._xlws.FILTER(CapacityTable[], (CapacityTable[Model] = $B$37) * (CapacityTable[T ext] = $D44) * (CapacityTable[T water out] = $Z$8) * (CapacityTable[Type] = $C$37),Tableau2[]),1,7)</f>
        <v>2.4120772847913736</v>
      </c>
      <c r="AC44" s="76" cm="1">
        <f t="array" ref="AC44">INDEX(_xlfn._xlws.FILTER(CapacityTable[], (CapacityTable[Model] = $B$37) * (CapacityTable[T ext] = $D44) * (CapacityTable[T water out] = $AC$8) * (CapacityTable[Type] = $C$37),Tableau2[]),1,5)</f>
        <v>10.775556084587242</v>
      </c>
      <c r="AD44" s="79" cm="1">
        <f t="array" ref="AD44">INDEX(_xlfn._xlws.FILTER(CapacityTable[], (CapacityTable[Model] = $B$37) * (CapacityTable[T ext] = $D44) * (CapacityTable[T water out] = $AC$8) * (CapacityTable[Type] = $C$37),Tableau2[]),1,6)</f>
        <v>4.7657840396464888</v>
      </c>
      <c r="AE44" s="80" cm="1">
        <f t="array" ref="AE44">INDEX(_xlfn._xlws.FILTER(CapacityTable[], (CapacityTable[Model] = $B$37) * (CapacityTable[T ext] = $D44) * (CapacityTable[T water out] = $AC$8) * (CapacityTable[Type] = $C$37),Tableau2[]),1,7)</f>
        <v>2.2610248376648094</v>
      </c>
    </row>
    <row r="45" spans="1:31" ht="15.75" thickBot="1" x14ac:dyDescent="0.3">
      <c r="B45" s="277"/>
      <c r="C45" s="281"/>
      <c r="D45" s="48">
        <v>20</v>
      </c>
      <c r="E45" s="116" cm="1">
        <f t="array" ref="E45">INDEX(_xlfn._xlws.FILTER(CapacityTable[], (CapacityTable[Model] = $B$37) * (CapacityTable[T ext] = $D45) * (CapacityTable[T water out] = $E$8) * (CapacityTable[Type] = $C$37),Tableau2[]),1,5)</f>
        <v>10.76685907716988</v>
      </c>
      <c r="F45" s="79" cm="1">
        <f t="array" ref="F45">INDEX(_xlfn._xlws.FILTER(CapacityTable[], (CapacityTable[Model] = $B$37) * (CapacityTable[T ext] = $D45) * (CapacityTable[T water out] = $E$8) * (CapacityTable[Type] = $C$37),Tableau2[]),1,6)</f>
        <v>1.7023348392341913</v>
      </c>
      <c r="G45" s="80" cm="1">
        <f t="array" ref="G45">INDEX(_xlfn._xlws.FILTER(CapacityTable[], (CapacityTable[Model] = $B$37) * (CapacityTable[T ext] = $D45) * (CapacityTable[T water out] = $E$8) * (CapacityTable[Type] = $C$37),Tableau2[]),1,7)</f>
        <v>6.3247598703986085</v>
      </c>
      <c r="H45" s="76" cm="1">
        <f t="array" ref="H45">INDEX(_xlfn._xlws.FILTER(CapacityTable[], (CapacityTable[Model] = $B$37) * (CapacityTable[T ext] = $D45) * (CapacityTable[T water out] = $H$8) * (CapacityTable[Type] = $C$37),Tableau2[]),1,5)</f>
        <v>10.766923474571179</v>
      </c>
      <c r="I45" s="79" cm="1">
        <f t="array" ref="I45">INDEX(_xlfn._xlws.FILTER(CapacityTable[], (CapacityTable[Model] = $B$37) * (CapacityTable[T ext] = $D45) * (CapacityTable[T water out] = $H$8) * (CapacityTable[Type] = $C$37),Tableau2[]),1,6)</f>
        <v>2.1499770143423147</v>
      </c>
      <c r="J45" s="80" cm="1">
        <f t="array" ref="J45">INDEX(_xlfn._xlws.FILTER(CapacityTable[], (CapacityTable[Model] = $B$37) * (CapacityTable[T ext] = $D45) * (CapacityTable[T water out] = $H$8) * (CapacityTable[Type] = $C$37),Tableau2[]),1,7)</f>
        <v>5.007924923264734</v>
      </c>
      <c r="K45" s="116" cm="1">
        <f t="array" ref="K45">INDEX(_xlfn._xlws.FILTER(CapacityTable[], (CapacityTable[Model] = $B$37) * (CapacityTable[T ext] = $D45) * (CapacityTable[T water out] = $K$8) * (CapacityTable[Type] = $C$37),Tableau2[]),1,5)</f>
        <v>10.767115330652731</v>
      </c>
      <c r="L45" s="79" cm="1">
        <f t="array" ref="L45">INDEX(_xlfn._xlws.FILTER(CapacityTable[], (CapacityTable[Model] = $B$37) * (CapacityTable[T ext] = $D45) * (CapacityTable[T water out] = $K$8) * (CapacityTable[Type] = $C$37),Tableau2[]),1,6)</f>
        <v>2.4193616264559075</v>
      </c>
      <c r="M45" s="80" cm="1">
        <f t="array" ref="M45">INDEX(_xlfn._xlws.FILTER(CapacityTable[], (CapacityTable[Model] = $B$37) * (CapacityTable[T ext] = $D45) * (CapacityTable[T water out] = $K$8) * (CapacityTable[Type] = $C$37),Tableau2[]),1,7)</f>
        <v>4.450395183966501</v>
      </c>
      <c r="N45" s="76" cm="1">
        <f t="array" ref="N45">INDEX(_xlfn._xlws.FILTER(CapacityTable[], (CapacityTable[Model] = $B$37) * (CapacityTable[T ext] = $D45) * (CapacityTable[T water out] = $N$8) * (CapacityTable[Type] = $C$37),Tableau2[]),1,5)</f>
        <v>10.766977078141132</v>
      </c>
      <c r="O45" s="79" cm="1">
        <f t="array" ref="O45">INDEX(_xlfn._xlws.FILTER(CapacityTable[], (CapacityTable[Model] = $B$37) * (CapacityTable[T ext] = $D45) * (CapacityTable[T water out] = $N$8) * (CapacityTable[Type] = $C$37),Tableau2[]),1,6)</f>
        <v>2.7183384337473564</v>
      </c>
      <c r="P45" s="80" cm="1">
        <f t="array" ref="P45">INDEX(_xlfn._xlws.FILTER(CapacityTable[], (CapacityTable[Model] = $B$37) * (CapacityTable[T ext] = $D45) * (CapacityTable[T water out] = $N$8) * (CapacityTable[Type] = $C$37),Tableau2[]),1,7)</f>
        <v>3.9608670298268756</v>
      </c>
      <c r="Q45" s="76" cm="1">
        <f t="array" ref="Q45">INDEX(_xlfn._xlws.FILTER(CapacityTable[], (CapacityTable[Model] = $B$37) * (CapacityTable[T ext] = $D45) * (CapacityTable[T water out] = $Q$8) * (CapacityTable[Type] = $C$37),Tableau2[]),1,5)</f>
        <v>10.776723447032404</v>
      </c>
      <c r="R45" s="79" cm="1">
        <f t="array" ref="R45">INDEX(_xlfn._xlws.FILTER(CapacityTable[], (CapacityTable[Model] = $B$37) * (CapacityTable[T ext] = $D45) * (CapacityTable[T water out] = $Q$8) * (CapacityTable[Type] = $C$37),Tableau2[]),1,6)</f>
        <v>2.973079384269921</v>
      </c>
      <c r="S45" s="80" cm="1">
        <f t="array" ref="S45">INDEX(_xlfn._xlws.FILTER(CapacityTable[], (CapacityTable[Model] = $B$37) * (CapacityTable[T ext] = $D45) * (CapacityTable[T water out] = $Q$8) * (CapacityTable[Type] = $C$37),Tableau2[]),1,7)</f>
        <v>3.624768145798694</v>
      </c>
      <c r="T45" s="76" cm="1">
        <f t="array" ref="T45">INDEX(_xlfn._xlws.FILTER(CapacityTable[], (CapacityTable[Model] = $B$37) * (CapacityTable[T ext] = $D45) * (CapacityTable[T water out] = $T$8) * (CapacityTable[Type] = $C$37),Tableau2[]),1,5)</f>
        <v>10.77676539885781</v>
      </c>
      <c r="U45" s="79" cm="1">
        <f t="array" ref="U45">INDEX(_xlfn._xlws.FILTER(CapacityTable[], (CapacityTable[Model] = $B$37) * (CapacityTable[T ext] = $D45) * (CapacityTable[T water out] = $T$8) * (CapacityTable[Type] = $C$37),Tableau2[]),1,6)</f>
        <v>3.3276775887987222</v>
      </c>
      <c r="V45" s="80" cm="1">
        <f t="array" ref="V45">INDEX(_xlfn._xlws.FILTER(CapacityTable[], (CapacityTable[Model] = $B$37) * (CapacityTable[T ext] = $D45) * (CapacityTable[T water out] = $T$8) * (CapacityTable[Type] = $C$37),Tableau2[]),1,7)</f>
        <v>3.238524499829377</v>
      </c>
      <c r="W45" s="76" cm="1">
        <f t="array" ref="W45">INDEX(_xlfn._xlws.FILTER(CapacityTable[], (CapacityTable[Model] = $B$37) * (CapacityTable[T ext] = $D45) * (CapacityTable[T water out] = $W$8) * (CapacityTable[Type] = $C$37),Tableau2[]),1,5)</f>
        <v>10.775544880517812</v>
      </c>
      <c r="X45" s="79" cm="1">
        <f t="array" ref="X45">INDEX(_xlfn._xlws.FILTER(CapacityTable[], (CapacityTable[Model] = $B$37) * (CapacityTable[T ext] = $D45) * (CapacityTable[T water out] = $W$8) * (CapacityTable[Type] = $C$37),Tableau2[]),1,6)</f>
        <v>3.6665802355826722</v>
      </c>
      <c r="Y45" s="80" cm="1">
        <f t="array" ref="Y45">INDEX(_xlfn._xlws.FILTER(CapacityTable[], (CapacityTable[Model] = $B$37) * (CapacityTable[T ext] = $D45) * (CapacityTable[T water out] = $W$8) * (CapacityTable[Type] = $C$37),Tableau2[]),1,7)</f>
        <v>2.9388542424206414</v>
      </c>
      <c r="Z45" s="76" cm="1">
        <f t="array" ref="Z45">INDEX(_xlfn._xlws.FILTER(CapacityTable[], (CapacityTable[Model] = $B$37) * (CapacityTable[T ext] = $D45) * (CapacityTable[T water out] = $Z$8) * (CapacityTable[Type] = $C$37),Tableau2[]),1,5)</f>
        <v>10.775555915526217</v>
      </c>
      <c r="AA45" s="79" cm="1">
        <f t="array" ref="AA45">INDEX(_xlfn._xlws.FILTER(CapacityTable[], (CapacityTable[Model] = $B$37) * (CapacityTable[T ext] = $D45) * (CapacityTable[T water out] = $Z$8) * (CapacityTable[Type] = $C$37),Tableau2[]),1,6)</f>
        <v>4.0833292963369034</v>
      </c>
      <c r="AB45" s="80" cm="1">
        <f t="array" ref="AB45">INDEX(_xlfn._xlws.FILTER(CapacityTable[], (CapacityTable[Model] = $B$37) * (CapacityTable[T ext] = $D45) * (CapacityTable[T water out] = $Z$8) * (CapacityTable[Type] = $C$37),Tableau2[]),1,7)</f>
        <v>2.638914261750287</v>
      </c>
      <c r="AC45" s="76" cm="1">
        <f t="array" ref="AC45">INDEX(_xlfn._xlws.FILTER(CapacityTable[], (CapacityTable[Model] = $B$37) * (CapacityTable[T ext] = $D45) * (CapacityTable[T water out] = $AC$8) * (CapacityTable[Type] = $C$37),Tableau2[]),1,5)</f>
        <v>10.775542737426479</v>
      </c>
      <c r="AD45" s="79" cm="1">
        <f t="array" ref="AD45">INDEX(_xlfn._xlws.FILTER(CapacityTable[], (CapacityTable[Model] = $B$37) * (CapacityTable[T ext] = $D45) * (CapacityTable[T water out] = $AC$8) * (CapacityTable[Type] = $C$37),Tableau2[]),1,6)</f>
        <v>4.5353123725301785</v>
      </c>
      <c r="AE45" s="80" cm="1">
        <f t="array" ref="AE45">INDEX(_xlfn._xlws.FILTER(CapacityTable[], (CapacityTable[Model] = $B$37) * (CapacityTable[T ext] = $D45) * (CapacityTable[T water out] = $AC$8) * (CapacityTable[Type] = $C$37),Tableau2[]),1,7)</f>
        <v>2.375920742018256</v>
      </c>
    </row>
    <row r="46" spans="1:31" x14ac:dyDescent="0.25">
      <c r="B46" s="277"/>
      <c r="C46" s="282" t="s">
        <v>156</v>
      </c>
      <c r="D46" s="42">
        <v>-20</v>
      </c>
      <c r="E46" s="182" cm="1">
        <f t="array" ref="E46">INDEX(_xlfn._xlws.FILTER(CapacityTable[], (CapacityTable[Model] = $B$37) * (CapacityTable[T ext] = $D46) * (CapacityTable[T water out] = $E$8) * (CapacityTable[Type] = $C$46),Tableau2[]),1,5)</f>
        <v>2.3265339072015201</v>
      </c>
      <c r="F46" s="183" cm="1">
        <f t="array" ref="F46">INDEX(_xlfn._xlws.FILTER(CapacityTable[], (CapacityTable[Model] = $B$37) * (CapacityTable[T ext] = $D46) * (CapacityTable[T water out] = $E$8) * (CapacityTable[Type] = $C$46),Tableau2[]),1,6)</f>
        <v>0.84774821326886163</v>
      </c>
      <c r="G46" s="184" cm="1">
        <f t="array" ref="G46">INDEX(_xlfn._xlws.FILTER(CapacityTable[], (CapacityTable[Model] = $B$37) * (CapacityTable[T ext] = $D46) * (CapacityTable[T water out] = $E$8) * (CapacityTable[Type] = $C$46),Tableau2[]),1,7)</f>
        <v>2.7443689892669401</v>
      </c>
      <c r="H46" s="83" cm="1">
        <f t="array" ref="H46">INDEX(_xlfn._xlws.FILTER(CapacityTable[], (CapacityTable[Model] = $B$37) * (CapacityTable[T ext] = $D46) * (CapacityTable[T water out] = $H$8) * (CapacityTable[Type] = $C$46),Tableau2[]),1,5)</f>
        <v>4.4809840172408908</v>
      </c>
      <c r="I46" s="84" cm="1">
        <f t="array" ref="I46">INDEX(_xlfn._xlws.FILTER(CapacityTable[], (CapacityTable[Model] = $B$37) * (CapacityTable[T ext] = $D46) * (CapacityTable[T water out] = $H$8) * (CapacityTable[Type] = $C$46),Tableau2[]),1,6)</f>
        <v>1.9651425566765268</v>
      </c>
      <c r="J46" s="85" cm="1">
        <f t="array" ref="J46">INDEX(_xlfn._xlws.FILTER(CapacityTable[], (CapacityTable[Model] = $B$37) * (CapacityTable[T ext] = $D46) * (CapacityTable[T water out] = $H$8) * (CapacityTable[Type] = $C$46),Tableau2[]),1,7)</f>
        <v>2.2802335647441199</v>
      </c>
      <c r="K46" s="185" cm="1">
        <f t="array" ref="K46">INDEX(_xlfn._xlws.FILTER(CapacityTable[], (CapacityTable[Model] = $B$37) * (CapacityTable[T ext] = $D46) * (CapacityTable[T water out] = $K$8) * (CapacityTable[Type] = $C$46),Tableau2[]),1,5)</f>
        <v>4.7791775724882903</v>
      </c>
      <c r="L46" s="183" cm="1">
        <f t="array" ref="L46">INDEX(_xlfn._xlws.FILTER(CapacityTable[], (CapacityTable[Model] = $B$37) * (CapacityTable[T ext] = $D46) * (CapacityTable[T water out] = $K$8) * (CapacityTable[Type] = $C$46),Tableau2[]),1,6)</f>
        <v>2.252193901357034</v>
      </c>
      <c r="M46" s="184" cm="1">
        <f t="array" ref="M46">INDEX(_xlfn._xlws.FILTER(CapacityTable[], (CapacityTable[Model] = $B$37) * (CapacityTable[T ext] = $D46) * (CapacityTable[T water out] = $K$8) * (CapacityTable[Type] = $C$46),Tableau2[]),1,7)</f>
        <v>2.1220098187854299</v>
      </c>
      <c r="N46" s="185" cm="1">
        <f t="array" ref="N46">INDEX(_xlfn._xlws.FILTER(CapacityTable[], (CapacityTable[Model] = $B$37) * (CapacityTable[T ext] = $D46) * (CapacityTable[T water out] = $N$8) * (CapacityTable[Type] = $C$46),Tableau2[]),1,5)</f>
        <v>4.7365305398470001</v>
      </c>
      <c r="O46" s="183" cm="1">
        <f t="array" ref="O46">INDEX(_xlfn._xlws.FILTER(CapacityTable[], (CapacityTable[Model] = $B$37) * (CapacityTable[T ext] = $D46) * (CapacityTable[T water out] = $N$8) * (CapacityTable[Type] = $C$46),Tableau2[]),1,6)</f>
        <v>2.3943451849655695</v>
      </c>
      <c r="P46" s="184" cm="1">
        <f t="array" ref="P46">INDEX(_xlfn._xlws.FILTER(CapacityTable[], (CapacityTable[Model] = $B$37) * (CapacityTable[T ext] = $D46) * (CapacityTable[T water out] = $N$8) * (CapacityTable[Type] = $C$46),Tableau2[]),1,7)</f>
        <v>1.9782154092017901</v>
      </c>
      <c r="Q46" s="185" cm="1">
        <f t="array" ref="Q46">INDEX(_xlfn._xlws.FILTER(CapacityTable[], (CapacityTable[Model] = $B$37) * (CapacityTable[T ext] = $D46) * (CapacityTable[T water out] = $Q$8) * (CapacityTable[Type] = $C$46),Tableau2[]),1,5)</f>
        <v>4.6989913001380703</v>
      </c>
      <c r="R46" s="183" cm="1">
        <f t="array" ref="R46">INDEX(_xlfn._xlws.FILTER(CapacityTable[], (CapacityTable[Model] = $B$37) * (CapacityTable[T ext] = $D46) * (CapacityTable[T water out] = $Q$8) * (CapacityTable[Type] = $C$46),Tableau2[]),1,6)</f>
        <v>2.5385407323944489</v>
      </c>
      <c r="S46" s="184" cm="1">
        <f t="array" ref="S46">INDEX(_xlfn._xlws.FILTER(CapacityTable[], (CapacityTable[Model] = $B$37) * (CapacityTable[T ext] = $D46) * (CapacityTable[T water out] = $Q$8) * (CapacityTable[Type] = $C$46),Tableau2[]),1,7)</f>
        <v>1.8510600362539</v>
      </c>
      <c r="T46" s="185" cm="1">
        <f t="array" ref="T46">INDEX(_xlfn._xlws.FILTER(CapacityTable[], (CapacityTable[Model] = $B$37) * (CapacityTable[T ext] = $D46) * (CapacityTable[T water out] = $T$8) * (CapacityTable[Type] = $C$46),Tableau2[]),1,5)</f>
        <v>4.6634447707789004</v>
      </c>
      <c r="U46" s="183" cm="1">
        <f t="array" ref="U46">INDEX(_xlfn._xlws.FILTER(CapacityTable[], (CapacityTable[Model] = $B$37) * (CapacityTable[T ext] = $D46) * (CapacityTable[T water out] = $T$8) * (CapacityTable[Type] = $C$46),Tableau2[]),1,6)</f>
        <v>2.6962584266849832</v>
      </c>
      <c r="V46" s="184" cm="1">
        <f t="array" ref="V46">INDEX(_xlfn._xlws.FILTER(CapacityTable[], (CapacityTable[Model] = $B$37) * (CapacityTable[T ext] = $D46) * (CapacityTable[T water out] = $T$8) * (CapacityTable[Type] = $C$46),Tableau2[]),1,7)</f>
        <v>1.7295985891502801</v>
      </c>
      <c r="W46" s="185" cm="1">
        <f t="array" ref="W46">INDEX(_xlfn._xlws.FILTER(CapacityTable[], (CapacityTable[Model] = $B$37) * (CapacityTable[T ext] = $D46) * (CapacityTable[T water out] = $W$8) * (CapacityTable[Type] = $C$46),Tableau2[]),1,5)</f>
        <v>4.6327263737571505</v>
      </c>
      <c r="X46" s="183" cm="1">
        <f t="array" ref="X46">INDEX(_xlfn._xlws.FILTER(CapacityTable[], (CapacityTable[Model] = $B$37) * (CapacityTable[T ext] = $D46) * (CapacityTable[T water out] = $W$8) * (CapacityTable[Type] = $C$46),Tableau2[]),1,6)</f>
        <v>2.8617399911304306</v>
      </c>
      <c r="Y46" s="184" cm="1">
        <f t="array" ref="Y46">INDEX(_xlfn._xlws.FILTER(CapacityTable[], (CapacityTable[Model] = $B$37) * (CapacityTable[T ext] = $D46) * (CapacityTable[T water out] = $W$8) * (CapacityTable[Type] = $C$46),Tableau2[]),1,7)</f>
        <v>1.6188495069837401</v>
      </c>
      <c r="Z46" s="185" cm="1">
        <f t="array" ref="Z46">INDEX(_xlfn._xlws.FILTER(CapacityTable[], (CapacityTable[Model] = $B$37) * (CapacityTable[T ext] = $D46) * (CapacityTable[T water out] = $Z$8) * (CapacityTable[Type] = $C$46),Tableau2[]),1,5)</f>
        <v>4.6068611374489699</v>
      </c>
      <c r="AA46" s="183" cm="1">
        <f t="array" ref="AA46">INDEX(_xlfn._xlws.FILTER(CapacityTable[], (CapacityTable[Model] = $B$37) * (CapacityTable[T ext] = $D46) * (CapacityTable[T water out] = $Z$8) * (CapacityTable[Type] = $C$46),Tableau2[]),1,6)</f>
        <v>3.0348805091588136</v>
      </c>
      <c r="AB46" s="184" cm="1">
        <f t="array" ref="AB46">INDEX(_xlfn._xlws.FILTER(CapacityTable[], (CapacityTable[Model] = $B$37) * (CapacityTable[T ext] = $D46) * (CapacityTable[T water out] = $Z$8) * (CapacityTable[Type] = $C$46),Tableau2[]),1,7)</f>
        <v>1.5179711766397901</v>
      </c>
      <c r="AC46" s="185" t="str" cm="1">
        <f t="array" ref="AC46">INDEX(_xlfn._xlws.FILTER(CapacityTable[], (CapacityTable[Model] = $B$37) * (CapacityTable[T ext] = $D46) * (CapacityTable[T water out] = $AC$8) * (CapacityTable[Type] = $C$46),Tableau2[]),1,5)</f>
        <v>N.A.</v>
      </c>
      <c r="AD46" s="183" t="str" cm="1">
        <f t="array" ref="AD46">INDEX(_xlfn._xlws.FILTER(CapacityTable[], (CapacityTable[Model] = $B$37) * (CapacityTable[T ext] = $D46) * (CapacityTable[T water out] = $AC$8) * (CapacityTable[Type] = $C$46),Tableau2[]),1,6)</f>
        <v>N.A.</v>
      </c>
      <c r="AE46" s="184" t="str" cm="1">
        <f t="array" ref="AE46">INDEX(_xlfn._xlws.FILTER(CapacityTable[], (CapacityTable[Model] = $B$37) * (CapacityTable[T ext] = $D46) * (CapacityTable[T water out] = $AC$8) * (CapacityTable[Type] = $C$46),Tableau2[]),1,7)</f>
        <v>N.A.</v>
      </c>
    </row>
    <row r="47" spans="1:31" x14ac:dyDescent="0.25">
      <c r="B47" s="277"/>
      <c r="C47" s="279"/>
      <c r="D47" s="37">
        <v>-15</v>
      </c>
      <c r="E47" s="117" cm="1">
        <f t="array" ref="E47">INDEX(_xlfn._xlws.FILTER(CapacityTable[], (CapacityTable[Model] = $B$37) * (CapacityTable[T ext] = $D47) * (CapacityTable[T water out] = $E$8) * (CapacityTable[Type] = $C$46),Tableau2[]),1,5)</f>
        <v>2.7636733164681901</v>
      </c>
      <c r="F47" s="104" cm="1">
        <f t="array" ref="F47">INDEX(_xlfn._xlws.FILTER(CapacityTable[], (CapacityTable[Model] = $B$37) * (CapacityTable[T ext] = $D47) * (CapacityTable[T water out] = $E$8) * (CapacityTable[Type] = $C$46),Tableau2[]),1,6)</f>
        <v>0.86275740815991731</v>
      </c>
      <c r="G47" s="99" cm="1">
        <f t="array" ref="G47">INDEX(_xlfn._xlws.FILTER(CapacityTable[], (CapacityTable[Model] = $B$37) * (CapacityTable[T ext] = $D47) * (CapacityTable[T water out] = $E$8) * (CapacityTable[Type] = $C$46),Tableau2[]),1,7)</f>
        <v>3.2033029103308799</v>
      </c>
      <c r="H47" s="93" cm="1">
        <f t="array" ref="H47">INDEX(_xlfn._xlws.FILTER(CapacityTable[], (CapacityTable[Model] = $B$37) * (CapacityTable[T ext] = $D47) * (CapacityTable[T water out] = $H$8) * (CapacityTable[Type] = $C$46),Tableau2[]),1,5)</f>
        <v>4.5182545167499502</v>
      </c>
      <c r="I47" s="104" cm="1">
        <f t="array" ref="I47">INDEX(_xlfn._xlws.FILTER(CapacityTable[], (CapacityTable[Model] = $B$37) * (CapacityTable[T ext] = $D47) * (CapacityTable[T water out] = $H$8) * (CapacityTable[Type] = $C$46),Tableau2[]),1,6)</f>
        <v>1.7343447991076124</v>
      </c>
      <c r="J47" s="99" cm="1">
        <f t="array" ref="J47">INDEX(_xlfn._xlws.FILTER(CapacityTable[], (CapacityTable[Model] = $B$37) * (CapacityTable[T ext] = $D47) * (CapacityTable[T water out] = $H$8) * (CapacityTable[Type] = $C$46),Tableau2[]),1,7)</f>
        <v>2.6051650854402002</v>
      </c>
      <c r="K47" s="93" cm="1">
        <f t="array" ref="K47">INDEX(_xlfn._xlws.FILTER(CapacityTable[], (CapacityTable[Model] = $B$37) * (CapacityTable[T ext] = $D47) * (CapacityTable[T water out] = $K$8) * (CapacityTable[Type] = $C$46),Tableau2[]),1,5)</f>
        <v>4.8355123778904696</v>
      </c>
      <c r="L47" s="104" cm="1">
        <f t="array" ref="L47">INDEX(_xlfn._xlws.FILTER(CapacityTable[], (CapacityTable[Model] = $B$37) * (CapacityTable[T ext] = $D47) * (CapacityTable[T water out] = $K$8) * (CapacityTable[Type] = $C$46),Tableau2[]),1,6)</f>
        <v>2.0200418592094165</v>
      </c>
      <c r="M47" s="99" cm="1">
        <f t="array" ref="M47">INDEX(_xlfn._xlws.FILTER(CapacityTable[], (CapacityTable[Model] = $B$37) * (CapacityTable[T ext] = $D47) * (CapacityTable[T water out] = $K$8) * (CapacityTable[Type] = $C$46),Tableau2[]),1,7)</f>
        <v>2.3937684042760101</v>
      </c>
      <c r="N47" s="93" cm="1">
        <f t="array" ref="N47">INDEX(_xlfn._xlws.FILTER(CapacityTable[], (CapacityTable[Model] = $B$37) * (CapacityTable[T ext] = $D47) * (CapacityTable[T water out] = $N$8) * (CapacityTable[Type] = $C$46),Tableau2[]),1,5)</f>
        <v>5.1565808505712303</v>
      </c>
      <c r="O47" s="104" cm="1">
        <f t="array" ref="O47">INDEX(_xlfn._xlws.FILTER(CapacityTable[], (CapacityTable[Model] = $B$37) * (CapacityTable[T ext] = $D47) * (CapacityTable[T water out] = $N$8) * (CapacityTable[Type] = $C$46),Tableau2[]),1,6)</f>
        <v>2.3374807487778479</v>
      </c>
      <c r="P47" s="99" cm="1">
        <f t="array" ref="P47">INDEX(_xlfn._xlws.FILTER(CapacityTable[], (CapacityTable[Model] = $B$37) * (CapacityTable[T ext] = $D47) * (CapacityTable[T water out] = $N$8) * (CapacityTable[Type] = $C$46),Tableau2[]),1,7)</f>
        <v>2.2060420618511398</v>
      </c>
      <c r="Q47" s="93" cm="1">
        <f t="array" ref="Q47">INDEX(_xlfn._xlws.FILTER(CapacityTable[], (CapacityTable[Model] = $B$37) * (CapacityTable[T ext] = $D47) * (CapacityTable[T water out] = $Q$8) * (CapacityTable[Type] = $C$46),Tableau2[]),1,5)</f>
        <v>5.4842603942103798</v>
      </c>
      <c r="R47" s="104" cm="1">
        <f t="array" ref="R47">INDEX(_xlfn._xlws.FILTER(CapacityTable[], (CapacityTable[Model] = $B$37) * (CapacityTable[T ext] = $D47) * (CapacityTable[T water out] = $Q$8) * (CapacityTable[Type] = $C$46),Tableau2[]),1,6)</f>
        <v>2.6669040171548715</v>
      </c>
      <c r="S47" s="99" cm="1">
        <f t="array" ref="S47">INDEX(_xlfn._xlws.FILTER(CapacityTable[], (CapacityTable[Model] = $B$37) * (CapacityTable[T ext] = $D47) * (CapacityTable[T water out] = $Q$8) * (CapacityTable[Type] = $C$46),Tableau2[]),1,7)</f>
        <v>2.0564146136992001</v>
      </c>
      <c r="T47" s="93" cm="1">
        <f t="array" ref="T47">INDEX(_xlfn._xlws.FILTER(CapacityTable[], (CapacityTable[Model] = $B$37) * (CapacityTable[T ext] = $D47) * (CapacityTable[T water out] = $T$8) * (CapacityTable[Type] = $C$46),Tableau2[]),1,5)</f>
        <v>5.4181028147065202</v>
      </c>
      <c r="U47" s="104" cm="1">
        <f t="array" ref="U47">INDEX(_xlfn._xlws.FILTER(CapacityTable[], (CapacityTable[Model] = $B$37) * (CapacityTable[T ext] = $D47) * (CapacityTable[T water out] = $T$8) * (CapacityTable[Type] = $C$46),Tableau2[]),1,6)</f>
        <v>2.8439464160129604</v>
      </c>
      <c r="V47" s="99" cm="1">
        <f t="array" ref="V47">INDEX(_xlfn._xlws.FILTER(CapacityTable[], (CapacityTable[Model] = $B$37) * (CapacityTable[T ext] = $D47) * (CapacityTable[T water out] = $T$8) * (CapacityTable[Type] = $C$46),Tableau2[]),1,7)</f>
        <v>1.9051353373606701</v>
      </c>
      <c r="W47" s="93" cm="1">
        <f t="array" ref="W47">INDEX(_xlfn._xlws.FILTER(CapacityTable[], (CapacityTable[Model] = $B$37) * (CapacityTable[T ext] = $D47) * (CapacityTable[T water out] = $W$8) * (CapacityTable[Type] = $C$46),Tableau2[]),1,5)</f>
        <v>5.3574240480426099</v>
      </c>
      <c r="X47" s="104" cm="1">
        <f t="array" ref="X47">INDEX(_xlfn._xlws.FILTER(CapacityTable[], (CapacityTable[Model] = $B$37) * (CapacityTable[T ext] = $D47) * (CapacityTable[T water out] = $W$8) * (CapacityTable[Type] = $C$46),Tableau2[]),1,6)</f>
        <v>3.0300495828391689</v>
      </c>
      <c r="Y47" s="99" cm="1">
        <f t="array" ref="Y47">INDEX(_xlfn._xlws.FILTER(CapacityTable[], (CapacityTable[Model] = $B$37) * (CapacityTable[T ext] = $D47) * (CapacityTable[T water out] = $W$8) * (CapacityTable[Type] = $C$46),Tableau2[]),1,7)</f>
        <v>1.7680978154234299</v>
      </c>
      <c r="Z47" s="93" cm="1">
        <f t="array" ref="Z47">INDEX(_xlfn._xlws.FILTER(CapacityTable[], (CapacityTable[Model] = $B$37) * (CapacityTable[T ext] = $D47) * (CapacityTable[T water out] = $Z$8) * (CapacityTable[Type] = $C$46),Tableau2[]),1,5)</f>
        <v>5.3023622206637304</v>
      </c>
      <c r="AA47" s="104" cm="1">
        <f t="array" ref="AA47">INDEX(_xlfn._xlws.FILTER(CapacityTable[], (CapacityTable[Model] = $B$37) * (CapacityTable[T ext] = $D47) * (CapacityTable[T water out] = $Z$8) * (CapacityTable[Type] = $C$46),Tableau2[]),1,6)</f>
        <v>3.2250000647928916</v>
      </c>
      <c r="AB47" s="99" cm="1">
        <f t="array" ref="AB47">INDEX(_xlfn._xlws.FILTER(CapacityTable[], (CapacityTable[Model] = $B$37) * (CapacityTable[T ext] = $D47) * (CapacityTable[T water out] = $Z$8) * (CapacityTable[Type] = $C$46),Tableau2[]),1,7)</f>
        <v>1.6441432912046301</v>
      </c>
      <c r="AC47" s="93" t="str" cm="1">
        <f t="array" ref="AC47">INDEX(_xlfn._xlws.FILTER(CapacityTable[], (CapacityTable[Model] = $B$37) * (CapacityTable[T ext] = $D47) * (CapacityTable[T water out] = $AC$8) * (CapacityTable[Type] = $C$46),Tableau2[]),1,5)</f>
        <v>N.A.</v>
      </c>
      <c r="AD47" s="104" t="str" cm="1">
        <f t="array" ref="AD47">INDEX(_xlfn._xlws.FILTER(CapacityTable[], (CapacityTable[Model] = $B$37) * (CapacityTable[T ext] = $D47) * (CapacityTable[T water out] = $AC$8) * (CapacityTable[Type] = $C$46),Tableau2[]),1,6)</f>
        <v>N.A.</v>
      </c>
      <c r="AE47" s="99" t="str" cm="1">
        <f t="array" ref="AE47">INDEX(_xlfn._xlws.FILTER(CapacityTable[], (CapacityTable[Model] = $B$37) * (CapacityTable[T ext] = $D47) * (CapacityTable[T water out] = $AC$8) * (CapacityTable[Type] = $C$46),Tableau2[]),1,7)</f>
        <v>N.A.</v>
      </c>
    </row>
    <row r="48" spans="1:31" x14ac:dyDescent="0.25">
      <c r="B48" s="277"/>
      <c r="C48" s="279"/>
      <c r="D48" s="37">
        <v>-10</v>
      </c>
      <c r="E48" s="117" cm="1">
        <f t="array" ref="E48">INDEX(_xlfn._xlws.FILTER(CapacityTable[], (CapacityTable[Model] = $B$37) * (CapacityTable[T ext] = $D48) * (CapacityTable[T water out] = $E$8) * (CapacityTable[Type] = $C$46),Tableau2[]),1,5)</f>
        <v>2.5419714511505398</v>
      </c>
      <c r="F48" s="104" cm="1">
        <f t="array" ref="F48">INDEX(_xlfn._xlws.FILTER(CapacityTable[], (CapacityTable[Model] = $B$37) * (CapacityTable[T ext] = $D48) * (CapacityTable[T water out] = $E$8) * (CapacityTable[Type] = $C$46),Tableau2[]),1,6)</f>
        <v>0.68436375663759896</v>
      </c>
      <c r="G48" s="99" cm="1">
        <f t="array" ref="G48">INDEX(_xlfn._xlws.FILTER(CapacityTable[], (CapacityTable[Model] = $B$37) * (CapacityTable[T ext] = $D48) * (CapacityTable[T water out] = $E$8) * (CapacityTable[Type] = $C$46),Tableau2[]),1,7)</f>
        <v>3.71435720623152</v>
      </c>
      <c r="H48" s="93" cm="1">
        <f t="array" ref="H48">INDEX(_xlfn._xlws.FILTER(CapacityTable[], (CapacityTable[Model] = $B$37) * (CapacityTable[T ext] = $D48) * (CapacityTable[T water out] = $H$8) * (CapacityTable[Type] = $C$46),Tableau2[]),1,5)</f>
        <v>4.8548667291329206</v>
      </c>
      <c r="I48" s="104" cm="1">
        <f t="array" ref="I48">INDEX(_xlfn._xlws.FILTER(CapacityTable[], (CapacityTable[Model] = $B$37) * (CapacityTable[T ext] = $D48) * (CapacityTable[T water out] = $H$8) * (CapacityTable[Type] = $C$46),Tableau2[]),1,6)</f>
        <v>1.6325691516903853</v>
      </c>
      <c r="J48" s="99" cm="1">
        <f t="array" ref="J48">INDEX(_xlfn._xlws.FILTER(CapacityTable[], (CapacityTable[Model] = $B$37) * (CapacityTable[T ext] = $D48) * (CapacityTable[T water out] = $H$8) * (CapacityTable[Type] = $C$46),Tableau2[]),1,7)</f>
        <v>2.9737587067023301</v>
      </c>
      <c r="K48" s="93" cm="1">
        <f t="array" ref="K48">INDEX(_xlfn._xlws.FILTER(CapacityTable[], (CapacityTable[Model] = $B$37) * (CapacityTable[T ext] = $D48) * (CapacityTable[T water out] = $K$8) * (CapacityTable[Type] = $C$46),Tableau2[]),1,5)</f>
        <v>5.2147401608202797</v>
      </c>
      <c r="L48" s="104" cm="1">
        <f t="array" ref="L48">INDEX(_xlfn._xlws.FILTER(CapacityTable[], (CapacityTable[Model] = $B$37) * (CapacityTable[T ext] = $D48) * (CapacityTable[T water out] = $K$8) * (CapacityTable[Type] = $C$46),Tableau2[]),1,6)</f>
        <v>1.928855990101294</v>
      </c>
      <c r="M48" s="99" cm="1">
        <f t="array" ref="M48">INDEX(_xlfn._xlws.FILTER(CapacityTable[], (CapacityTable[Model] = $B$37) * (CapacityTable[T ext] = $D48) * (CapacityTable[T water out] = $K$8) * (CapacityTable[Type] = $C$46),Tableau2[]),1,7)</f>
        <v>2.7035404341131901</v>
      </c>
      <c r="N48" s="93" cm="1">
        <f t="array" ref="N48">INDEX(_xlfn._xlws.FILTER(CapacityTable[], (CapacityTable[Model] = $B$37) * (CapacityTable[T ext] = $D48) * (CapacityTable[T water out] = $N$8) * (CapacityTable[Type] = $C$46),Tableau2[]),1,5)</f>
        <v>5.5647908918534705</v>
      </c>
      <c r="O48" s="104" cm="1">
        <f t="array" ref="O48">INDEX(_xlfn._xlws.FILTER(CapacityTable[], (CapacityTable[Model] = $B$37) * (CapacityTable[T ext] = $D48) * (CapacityTable[T water out] = $N$8) * (CapacityTable[Type] = $C$46),Tableau2[]),1,6)</f>
        <v>2.2538250052900453</v>
      </c>
      <c r="P48" s="99" cm="1">
        <f t="array" ref="P48">INDEX(_xlfn._xlws.FILTER(CapacityTable[], (CapacityTable[Model] = $B$37) * (CapacityTable[T ext] = $D48) * (CapacityTable[T water out] = $N$8) * (CapacityTable[Type] = $C$46),Tableau2[]),1,7)</f>
        <v>2.4690430174446201</v>
      </c>
      <c r="Q48" s="93" cm="1">
        <f t="array" ref="Q48">INDEX(_xlfn._xlws.FILTER(CapacityTable[], (CapacityTable[Model] = $B$37) * (CapacityTable[T ext] = $D48) * (CapacityTable[T water out] = $Q$8) * (CapacityTable[Type] = $C$46),Tableau2[]),1,5)</f>
        <v>5.9191777981847302</v>
      </c>
      <c r="R48" s="104" cm="1">
        <f t="array" ref="R48">INDEX(_xlfn._xlws.FILTER(CapacityTable[], (CapacityTable[Model] = $B$37) * (CapacityTable[T ext] = $D48) * (CapacityTable[T water out] = $Q$8) * (CapacityTable[Type] = $C$46),Tableau2[]),1,6)</f>
        <v>2.5905068729324459</v>
      </c>
      <c r="S48" s="99" cm="1">
        <f t="array" ref="S48">INDEX(_xlfn._xlws.FILTER(CapacityTable[], (CapacityTable[Model] = $B$37) * (CapacityTable[T ext] = $D48) * (CapacityTable[T water out] = $Q$8) * (CapacityTable[Type] = $C$46),Tableau2[]),1,7)</f>
        <v>2.2849496598649202</v>
      </c>
      <c r="T48" s="93" cm="1">
        <f t="array" ref="T48">INDEX(_xlfn._xlws.FILTER(CapacityTable[], (CapacityTable[Model] = $B$37) * (CapacityTable[T ext] = $D48) * (CapacityTable[T water out] = $T$8) * (CapacityTable[Type] = $C$46),Tableau2[]),1,5)</f>
        <v>6.2490213157675196</v>
      </c>
      <c r="U48" s="104" cm="1">
        <f t="array" ref="U48">INDEX(_xlfn._xlws.FILTER(CapacityTable[], (CapacityTable[Model] = $B$37) * (CapacityTable[T ext] = $D48) * (CapacityTable[T water out] = $T$8) * (CapacityTable[Type] = $C$46),Tableau2[]),1,6)</f>
        <v>2.9748367509124534</v>
      </c>
      <c r="V48" s="99" cm="1">
        <f t="array" ref="V48">INDEX(_xlfn._xlws.FILTER(CapacityTable[], (CapacityTable[Model] = $B$37) * (CapacityTable[T ext] = $D48) * (CapacityTable[T water out] = $T$8) * (CapacityTable[Type] = $C$46),Tableau2[]),1,7)</f>
        <v>2.10062663568036</v>
      </c>
      <c r="W48" s="93" cm="1">
        <f t="array" ref="W48">INDEX(_xlfn._xlws.FILTER(CapacityTable[], (CapacityTable[Model] = $B$37) * (CapacityTable[T ext] = $D48) * (CapacityTable[T water out] = $W$8) * (CapacityTable[Type] = $C$46),Tableau2[]),1,5)</f>
        <v>6.1589344306889195</v>
      </c>
      <c r="X48" s="104" cm="1">
        <f t="array" ref="X48">INDEX(_xlfn._xlws.FILTER(CapacityTable[], (CapacityTable[Model] = $B$37) * (CapacityTable[T ext] = $D48) * (CapacityTable[T water out] = $W$8) * (CapacityTable[Type] = $C$46),Tableau2[]),1,6)</f>
        <v>3.1806256303015212</v>
      </c>
      <c r="Y48" s="99" cm="1">
        <f t="array" ref="Y48">INDEX(_xlfn._xlws.FILTER(CapacityTable[], (CapacityTable[Model] = $B$37) * (CapacityTable[T ext] = $D48) * (CapacityTable[T water out] = $W$8) * (CapacityTable[Type] = $C$46),Tableau2[]),1,7)</f>
        <v>1.9363908697752199</v>
      </c>
      <c r="Z48" s="93" cm="1">
        <f t="array" ref="Z48">INDEX(_xlfn._xlws.FILTER(CapacityTable[], (CapacityTable[Model] = $B$37) * (CapacityTable[T ext] = $D48) * (CapacityTable[T water out] = $Z$8) * (CapacityTable[Type] = $C$46),Tableau2[]),1,5)</f>
        <v>6.0714111840352398</v>
      </c>
      <c r="AA48" s="104" cm="1">
        <f t="array" ref="AA48">INDEX(_xlfn._xlws.FILTER(CapacityTable[], (CapacityTable[Model] = $B$37) * (CapacityTable[T ext] = $D48) * (CapacityTable[T water out] = $Z$8) * (CapacityTable[Type] = $C$46),Tableau2[]),1,6)</f>
        <v>3.3956261440520961</v>
      </c>
      <c r="AB48" s="99" cm="1">
        <f t="array" ref="AB48">INDEX(_xlfn._xlws.FILTER(CapacityTable[], (CapacityTable[Model] = $B$37) * (CapacityTable[T ext] = $D48) * (CapacityTable[T water out] = $Z$8) * (CapacityTable[Type] = $C$46),Tableau2[]),1,7)</f>
        <v>1.7880093174185701</v>
      </c>
      <c r="AC48" s="93" cm="1">
        <f t="array" ref="AC48">INDEX(_xlfn._xlws.FILTER(CapacityTable[], (CapacityTable[Model] = $B$37) * (CapacityTable[T ext] = $D48) * (CapacityTable[T water out] = $AC$8) * (CapacityTable[Type] = $C$46),Tableau2[]),1,5)</f>
        <v>5.9876216546042995</v>
      </c>
      <c r="AD48" s="104" cm="1">
        <f t="array" ref="AD48">INDEX(_xlfn._xlws.FILTER(CapacityTable[], (CapacityTable[Model] = $B$37) * (CapacityTable[T ext] = $D48) * (CapacityTable[T water out] = $AC$8) * (CapacityTable[Type] = $C$46),Tableau2[]),1,6)</f>
        <v>3.6193226915013543</v>
      </c>
      <c r="AE48" s="99" cm="1">
        <f t="array" ref="AE48">INDEX(_xlfn._xlws.FILTER(CapacityTable[], (CapacityTable[Model] = $B$37) * (CapacityTable[T ext] = $D48) * (CapacityTable[T water out] = $AC$8) * (CapacityTable[Type] = $C$46),Tableau2[]),1,7)</f>
        <v>1.6543486627108499</v>
      </c>
    </row>
    <row r="49" spans="2:32" x14ac:dyDescent="0.25">
      <c r="B49" s="277"/>
      <c r="C49" s="279"/>
      <c r="D49" s="37">
        <v>-7</v>
      </c>
      <c r="E49" s="117" cm="1">
        <f t="array" ref="E49">INDEX(_xlfn._xlws.FILTER(CapacityTable[], (CapacityTable[Model] = $B$37) * (CapacityTable[T ext] = $D49) * (CapacityTable[T water out] = $E$8) * (CapacityTable[Type] = $C$46),Tableau2[]),1,5)</f>
        <v>2.4523856038278198</v>
      </c>
      <c r="F49" s="104" cm="1">
        <f t="array" ref="F49">INDEX(_xlfn._xlws.FILTER(CapacityTable[], (CapacityTable[Model] = $B$37) * (CapacityTable[T ext] = $D49) * (CapacityTable[T water out] = $E$8) * (CapacityTable[Type] = $C$46),Tableau2[]),1,6)</f>
        <v>0.61073238185198575</v>
      </c>
      <c r="G49" s="99" cm="1">
        <f t="array" ref="G49">INDEX(_xlfn._xlws.FILTER(CapacityTable[], (CapacityTable[Model] = $B$37) * (CapacityTable[T ext] = $D49) * (CapacityTable[T water out] = $E$8) * (CapacityTable[Type] = $C$46),Tableau2[]),1,7)</f>
        <v>4.0154831751203401</v>
      </c>
      <c r="H49" s="93" cm="1">
        <f t="array" ref="H49">INDEX(_xlfn._xlws.FILTER(CapacityTable[], (CapacityTable[Model] = $B$37) * (CapacityTable[T ext] = $D49) * (CapacityTable[T water out] = $H$8) * (CapacityTable[Type] = $C$46),Tableau2[]),1,5)</f>
        <v>4.8293723324422002</v>
      </c>
      <c r="I49" s="104" cm="1">
        <f t="array" ref="I49">INDEX(_xlfn._xlws.FILTER(CapacityTable[], (CapacityTable[Model] = $B$37) * (CapacityTable[T ext] = $D49) * (CapacityTable[T water out] = $H$8) * (CapacityTable[Type] = $C$46),Tableau2[]),1,6)</f>
        <v>1.5010085194027183</v>
      </c>
      <c r="J49" s="99" cm="1">
        <f t="array" ref="J49">INDEX(_xlfn._xlws.FILTER(CapacityTable[], (CapacityTable[Model] = $B$37) * (CapacityTable[T ext] = $D49) * (CapacityTable[T water out] = $H$8) * (CapacityTable[Type] = $C$46),Tableau2[]),1,7)</f>
        <v>3.21741833574929</v>
      </c>
      <c r="K49" s="93" cm="1">
        <f t="array" ref="K49">INDEX(_xlfn._xlws.FILTER(CapacityTable[], (CapacityTable[Model] = $B$37) * (CapacityTable[T ext] = $D49) * (CapacityTable[T water out] = $K$8) * (CapacityTable[Type] = $C$46),Tableau2[]),1,5)</f>
        <v>5.2226638292896199</v>
      </c>
      <c r="L49" s="104" cm="1">
        <f t="array" ref="L49">INDEX(_xlfn._xlws.FILTER(CapacityTable[], (CapacityTable[Model] = $B$37) * (CapacityTable[T ext] = $D49) * (CapacityTable[T water out] = $K$8) * (CapacityTable[Type] = $C$46),Tableau2[]),1,6)</f>
        <v>1.7949984847840157</v>
      </c>
      <c r="M49" s="99" cm="1">
        <f t="array" ref="M49">INDEX(_xlfn._xlws.FILTER(CapacityTable[], (CapacityTable[Model] = $B$37) * (CapacityTable[T ext] = $D49) * (CapacityTable[T water out] = $K$8) * (CapacityTable[Type] = $C$46),Tableau2[]),1,7)</f>
        <v>2.9095644779433001</v>
      </c>
      <c r="N49" s="93" cm="1">
        <f t="array" ref="N49">INDEX(_xlfn._xlws.FILTER(CapacityTable[], (CapacityTable[Model] = $B$37) * (CapacityTable[T ext] = $D49) * (CapacityTable[T water out] = $N$8) * (CapacityTable[Type] = $C$46),Tableau2[]),1,5)</f>
        <v>5.6052249450594198</v>
      </c>
      <c r="O49" s="104" cm="1">
        <f t="array" ref="O49">INDEX(_xlfn._xlws.FILTER(CapacityTable[], (CapacityTable[Model] = $B$37) * (CapacityTable[T ext] = $D49) * (CapacityTable[T water out] = $N$8) * (CapacityTable[Type] = $C$46),Tableau2[]),1,6)</f>
        <v>2.1213687606384428</v>
      </c>
      <c r="P49" s="99" cm="1">
        <f t="array" ref="P49">INDEX(_xlfn._xlws.FILTER(CapacityTable[], (CapacityTable[Model] = $B$37) * (CapacityTable[T ext] = $D49) * (CapacityTable[T water out] = $N$8) * (CapacityTable[Type] = $C$46),Tableau2[]),1,7)</f>
        <v>2.64226807194638</v>
      </c>
      <c r="Q49" s="93" cm="1">
        <f t="array" ref="Q49">INDEX(_xlfn._xlws.FILTER(CapacityTable[], (CapacityTable[Model] = $B$37) * (CapacityTable[T ext] = $D49) * (CapacityTable[T water out] = $Q$8) * (CapacityTable[Type] = $C$46),Tableau2[]),1,5)</f>
        <v>5.9828485181364002</v>
      </c>
      <c r="R49" s="104" cm="1">
        <f t="array" ref="R49">INDEX(_xlfn._xlws.FILTER(CapacityTable[], (CapacityTable[Model] = $B$37) * (CapacityTable[T ext] = $D49) * (CapacityTable[T water out] = $Q$8) * (CapacityTable[Type] = $C$46),Tableau2[]),1,6)</f>
        <v>2.4551106501229953</v>
      </c>
      <c r="S49" s="99" cm="1">
        <f t="array" ref="S49">INDEX(_xlfn._xlws.FILTER(CapacityTable[], (CapacityTable[Model] = $B$37) * (CapacityTable[T ext] = $D49) * (CapacityTable[T water out] = $Q$8) * (CapacityTable[Type] = $C$46),Tableau2[]),1,7)</f>
        <v>2.4368956722323998</v>
      </c>
      <c r="T49" s="93" cm="1">
        <f t="array" ref="T49">INDEX(_xlfn._xlws.FILTER(CapacityTable[], (CapacityTable[Model] = $B$37) * (CapacityTable[T ext] = $D49) * (CapacityTable[T water out] = $T$8) * (CapacityTable[Type] = $C$46),Tableau2[]),1,5)</f>
        <v>6.3314052877694404</v>
      </c>
      <c r="U49" s="104" cm="1">
        <f t="array" ref="U49">INDEX(_xlfn._xlws.FILTER(CapacityTable[], (CapacityTable[Model] = $B$37) * (CapacityTable[T ext] = $D49) * (CapacityTable[T water out] = $T$8) * (CapacityTable[Type] = $C$46),Tableau2[]),1,6)</f>
        <v>2.8402815979025244</v>
      </c>
      <c r="V49" s="99" cm="1">
        <f t="array" ref="V49">INDEX(_xlfn._xlws.FILTER(CapacityTable[], (CapacityTable[Model] = $B$37) * (CapacityTable[T ext] = $D49) * (CapacityTable[T water out] = $T$8) * (CapacityTable[Type] = $C$46),Tableau2[]),1,7)</f>
        <v>2.22914702980332</v>
      </c>
      <c r="W49" s="93" cm="1">
        <f t="array" ref="W49">INDEX(_xlfn._xlws.FILTER(CapacityTable[], (CapacityTable[Model] = $B$37) * (CapacityTable[T ext] = $D49) * (CapacityTable[T water out] = $W$8) * (CapacityTable[Type] = $C$46),Tableau2[]),1,5)</f>
        <v>6.2297340687422906</v>
      </c>
      <c r="X49" s="104" cm="1">
        <f t="array" ref="X49">INDEX(_xlfn._xlws.FILTER(CapacityTable[], (CapacityTable[Model] = $B$37) * (CapacityTable[T ext] = $D49) * (CapacityTable[T water out] = $W$8) * (CapacityTable[Type] = $C$46),Tableau2[]),1,6)</f>
        <v>3.0453722780931582</v>
      </c>
      <c r="Y49" s="99" cm="1">
        <f t="array" ref="Y49">INDEX(_xlfn._xlws.FILTER(CapacityTable[], (CapacityTable[Model] = $B$37) * (CapacityTable[T ext] = $D49) * (CapacityTable[T water out] = $W$8) * (CapacityTable[Type] = $C$46),Tableau2[]),1,7)</f>
        <v>2.0456395802758802</v>
      </c>
      <c r="Z49" s="93" cm="1">
        <f t="array" ref="Z49">INDEX(_xlfn._xlws.FILTER(CapacityTable[], (CapacityTable[Model] = $B$37) * (CapacityTable[T ext] = $D49) * (CapacityTable[T water out] = $Z$8) * (CapacityTable[Type] = $C$46),Tableau2[]),1,5)</f>
        <v>6.1311646782816798</v>
      </c>
      <c r="AA49" s="104" cm="1">
        <f t="array" ref="AA49">INDEX(_xlfn._xlws.FILTER(CapacityTable[], (CapacityTable[Model] = $B$37) * (CapacityTable[T ext] = $D49) * (CapacityTable[T water out] = $Z$8) * (CapacityTable[Type] = $C$46),Tableau2[]),1,6)</f>
        <v>3.2599951622945205</v>
      </c>
      <c r="AB49" s="99" cm="1">
        <f t="array" ref="AB49">INDEX(_xlfn._xlws.FILTER(CapacityTable[], (CapacityTable[Model] = $B$37) * (CapacityTable[T ext] = $D49) * (CapacityTable[T water out] = $Z$8) * (CapacityTable[Type] = $C$46),Tableau2[]),1,7)</f>
        <v>1.88072815235907</v>
      </c>
      <c r="AC49" s="93" cm="1">
        <f t="array" ref="AC49">INDEX(_xlfn._xlws.FILTER(CapacityTable[], (CapacityTable[Model] = $B$37) * (CapacityTable[T ext] = $D49) * (CapacityTable[T water out] = $AC$8) * (CapacityTable[Type] = $C$46),Tableau2[]),1,5)</f>
        <v>6.4580114119595802</v>
      </c>
      <c r="AD49" s="104" cm="1">
        <f t="array" ref="AD49">INDEX(_xlfn._xlws.FILTER(CapacityTable[], (CapacityTable[Model] = $B$37) * (CapacityTable[T ext] = $D49) * (CapacityTable[T water out] = $AC$8) * (CapacityTable[Type] = $C$46),Tableau2[]),1,6)</f>
        <v>3.7234708101828229</v>
      </c>
      <c r="AE49" s="99" cm="1">
        <f t="array" ref="AE49">INDEX(_xlfn._xlws.FILTER(CapacityTable[], (CapacityTable[Model] = $B$37) * (CapacityTable[T ext] = $D49) * (CapacityTable[T water out] = $AC$8) * (CapacityTable[Type] = $C$46),Tableau2[]),1,7)</f>
        <v>1.73440634858703</v>
      </c>
    </row>
    <row r="50" spans="2:32" x14ac:dyDescent="0.25">
      <c r="B50" s="277"/>
      <c r="C50" s="279"/>
      <c r="D50" s="37">
        <v>2</v>
      </c>
      <c r="E50" s="117" cm="1">
        <f t="array" ref="E50">INDEX(_xlfn._xlws.FILTER(CapacityTable[], (CapacityTable[Model] = $B$37) * (CapacityTable[T ext] = $D50) * (CapacityTable[T water out] = $E$8) * (CapacityTable[Type] = $C$46),Tableau2[]),1,5)</f>
        <v>4.5732924518680198</v>
      </c>
      <c r="F50" s="104" cm="1">
        <f t="array" ref="F50">INDEX(_xlfn._xlws.FILTER(CapacityTable[], (CapacityTable[Model] = $B$37) * (CapacityTable[T ext] = $D50) * (CapacityTable[T water out] = $E$8) * (CapacityTable[Type] = $C$46),Tableau2[]),1,6)</f>
        <v>0.89500158955579945</v>
      </c>
      <c r="G50" s="99" cm="1">
        <f t="array" ref="G50">INDEX(_xlfn._xlws.FILTER(CapacityTable[], (CapacityTable[Model] = $B$37) * (CapacityTable[T ext] = $D50) * (CapacityTable[T water out] = $E$8) * (CapacityTable[Type] = $C$46),Tableau2[]),1,7)</f>
        <v>5.10981489333198</v>
      </c>
      <c r="H50" s="93" cm="1">
        <f t="array" ref="H50">INDEX(_xlfn._xlws.FILTER(CapacityTable[], (CapacityTable[Model] = $B$37) * (CapacityTable[T ext] = $D50) * (CapacityTable[T water out] = $H$8) * (CapacityTable[Type] = $C$46),Tableau2[]),1,5)</f>
        <v>5.6529849931034297</v>
      </c>
      <c r="I50" s="104" cm="1">
        <f t="array" ref="I50">INDEX(_xlfn._xlws.FILTER(CapacityTable[], (CapacityTable[Model] = $B$37) * (CapacityTable[T ext] = $D50) * (CapacityTable[T water out] = $H$8) * (CapacityTable[Type] = $C$46),Tableau2[]),1,6)</f>
        <v>1.3963927936652718</v>
      </c>
      <c r="J50" s="99" cm="1">
        <f t="array" ref="J50">INDEX(_xlfn._xlws.FILTER(CapacityTable[], (CapacityTable[Model] = $B$37) * (CapacityTable[T ext] = $D50) * (CapacityTable[T water out] = $H$8) * (CapacityTable[Type] = $C$46),Tableau2[]),1,7)</f>
        <v>4.0482771171178804</v>
      </c>
      <c r="K50" s="93" cm="1">
        <f t="array" ref="K50">INDEX(_xlfn._xlws.FILTER(CapacityTable[], (CapacityTable[Model] = $B$37) * (CapacityTable[T ext] = $D50) * (CapacityTable[T water out] = $K$8) * (CapacityTable[Type] = $C$46),Tableau2[]),1,5)</f>
        <v>5.5254264754565305</v>
      </c>
      <c r="L50" s="104" cm="1">
        <f t="array" ref="L50">INDEX(_xlfn._xlws.FILTER(CapacityTable[], (CapacityTable[Model] = $B$37) * (CapacityTable[T ext] = $D50) * (CapacityTable[T water out] = $K$8) * (CapacityTable[Type] = $C$46),Tableau2[]),1,6)</f>
        <v>1.5270875422298507</v>
      </c>
      <c r="M50" s="99" cm="1">
        <f t="array" ref="M50">INDEX(_xlfn._xlws.FILTER(CapacityTable[], (CapacityTable[Model] = $B$37) * (CapacityTable[T ext] = $D50) * (CapacityTable[T water out] = $K$8) * (CapacityTable[Type] = $C$46),Tableau2[]),1,7)</f>
        <v>3.61827748747679</v>
      </c>
      <c r="N50" s="93" cm="1">
        <f t="array" ref="N50">INDEX(_xlfn._xlws.FILTER(CapacityTable[], (CapacityTable[Model] = $B$37) * (CapacityTable[T ext] = $D50) * (CapacityTable[T water out] = $N$8) * (CapacityTable[Type] = $C$46),Tableau2[]),1,5)</f>
        <v>6.0127405203443107</v>
      </c>
      <c r="O50" s="104" cm="1">
        <f t="array" ref="O50">INDEX(_xlfn._xlws.FILTER(CapacityTable[], (CapacityTable[Model] = $B$37) * (CapacityTable[T ext] = $D50) * (CapacityTable[T water out] = $N$8) * (CapacityTable[Type] = $C$46),Tableau2[]),1,6)</f>
        <v>1.8514229939169382</v>
      </c>
      <c r="P50" s="99" cm="1">
        <f t="array" ref="P50">INDEX(_xlfn._xlws.FILTER(CapacityTable[], (CapacityTable[Model] = $B$37) * (CapacityTable[T ext] = $D50) * (CapacityTable[T water out] = $N$8) * (CapacityTable[Type] = $C$46),Tableau2[]),1,7)</f>
        <v>3.2476319782674499</v>
      </c>
      <c r="Q50" s="93" cm="1">
        <f t="array" ref="Q50">INDEX(_xlfn._xlws.FILTER(CapacityTable[], (CapacityTable[Model] = $B$37) * (CapacityTable[T ext] = $D50) * (CapacityTable[T water out] = $Q$8) * (CapacityTable[Type] = $C$46),Tableau2[]),1,5)</f>
        <v>6.4755056664383499</v>
      </c>
      <c r="R50" s="104" cm="1">
        <f t="array" ref="R50">INDEX(_xlfn._xlws.FILTER(CapacityTable[], (CapacityTable[Model] = $B$37) * (CapacityTable[T ext] = $D50) * (CapacityTable[T water out] = $Q$8) * (CapacityTable[Type] = $C$46),Tableau2[]),1,6)</f>
        <v>2.1885117400572844</v>
      </c>
      <c r="S50" s="99" cm="1">
        <f t="array" ref="S50">INDEX(_xlfn._xlws.FILTER(CapacityTable[], (CapacityTable[Model] = $B$37) * (CapacityTable[T ext] = $D50) * (CapacityTable[T water out] = $Q$8) * (CapacityTable[Type] = $C$46),Tableau2[]),1,7)</f>
        <v>2.9588626589998799</v>
      </c>
      <c r="T50" s="93" cm="1">
        <f t="array" ref="T50">INDEX(_xlfn._xlws.FILTER(CapacityTable[], (CapacityTable[Model] = $B$37) * (CapacityTable[T ext] = $D50) * (CapacityTable[T water out] = $T$8) * (CapacityTable[Type] = $C$46),Tableau2[]),1,5)</f>
        <v>6.3443383400412205</v>
      </c>
      <c r="U50" s="104" cm="1">
        <f t="array" ref="U50">INDEX(_xlfn._xlws.FILTER(CapacityTable[], (CapacityTable[Model] = $B$37) * (CapacityTable[T ext] = $D50) * (CapacityTable[T water out] = $T$8) * (CapacityTable[Type] = $C$46),Tableau2[]),1,6)</f>
        <v>2.372259018494574</v>
      </c>
      <c r="V50" s="99" cm="1">
        <f t="array" ref="V50">INDEX(_xlfn._xlws.FILTER(CapacityTable[], (CapacityTable[Model] = $B$37) * (CapacityTable[T ext] = $D50) * (CapacityTable[T water out] = $T$8) * (CapacityTable[Type] = $C$46),Tableau2[]),1,7)</f>
        <v>2.6743868568227902</v>
      </c>
      <c r="W50" s="93" cm="1">
        <f t="array" ref="W50">INDEX(_xlfn._xlws.FILTER(CapacityTable[], (CapacityTable[Model] = $B$37) * (CapacityTable[T ext] = $D50) * (CapacityTable[T water out] = $W$8) * (CapacityTable[Type] = $C$46),Tableau2[]),1,5)</f>
        <v>6.2142213839804601</v>
      </c>
      <c r="X50" s="104" cm="1">
        <f t="array" ref="X50">INDEX(_xlfn._xlws.FILTER(CapacityTable[], (CapacityTable[Model] = $B$37) * (CapacityTable[T ext] = $D50) * (CapacityTable[T water out] = $W$8) * (CapacityTable[Type] = $C$46),Tableau2[]),1,6)</f>
        <v>2.5661773149931686</v>
      </c>
      <c r="Y50" s="99" cm="1">
        <f t="array" ref="Y50">INDEX(_xlfn._xlws.FILTER(CapacityTable[], (CapacityTable[Model] = $B$37) * (CapacityTable[T ext] = $D50) * (CapacityTable[T water out] = $W$8) * (CapacityTable[Type] = $C$46),Tableau2[]),1,7)</f>
        <v>2.4215869058124699</v>
      </c>
      <c r="Z50" s="93" cm="1">
        <f t="array" ref="Z50">INDEX(_xlfn._xlws.FILTER(CapacityTable[], (CapacityTable[Model] = $B$37) * (CapacityTable[T ext] = $D50) * (CapacityTable[T water out] = $Z$8) * (CapacityTable[Type] = $C$46),Tableau2[]),1,5)</f>
        <v>6.6144714526166704</v>
      </c>
      <c r="AA50" s="104" cm="1">
        <f t="array" ref="AA50">INDEX(_xlfn._xlws.FILTER(CapacityTable[], (CapacityTable[Model] = $B$37) * (CapacityTable[T ext] = $D50) * (CapacityTable[T water out] = $Z$8) * (CapacityTable[Type] = $C$46),Tableau2[]),1,6)</f>
        <v>3.0044158800885929</v>
      </c>
      <c r="AB50" s="99" cm="1">
        <f t="array" ref="AB50">INDEX(_xlfn._xlws.FILTER(CapacityTable[], (CapacityTable[Model] = $B$37) * (CapacityTable[T ext] = $D50) * (CapacityTable[T water out] = $Z$8) * (CapacityTable[Type] = $C$46),Tableau2[]),1,7)</f>
        <v>2.2015831751034498</v>
      </c>
      <c r="AC50" s="93" cm="1">
        <f t="array" ref="AC50">INDEX(_xlfn._xlws.FILTER(CapacityTable[], (CapacityTable[Model] = $B$37) * (CapacityTable[T ext] = $D50) * (CapacityTable[T water out] = $AC$8) * (CapacityTable[Type] = $C$46),Tableau2[]),1,5)</f>
        <v>6.4841053131355499</v>
      </c>
      <c r="AD50" s="104" cm="1">
        <f t="array" ref="AD50">INDEX(_xlfn._xlws.FILTER(CapacityTable[], (CapacityTable[Model] = $B$37) * (CapacityTable[T ext] = $D50) * (CapacityTable[T water out] = $AC$8) * (CapacityTable[Type] = $C$46),Tableau2[]),1,6)</f>
        <v>3.2316741246016538</v>
      </c>
      <c r="AE50" s="99" cm="1">
        <f t="array" ref="AE50">INDEX(_xlfn._xlws.FILTER(CapacityTable[], (CapacityTable[Model] = $B$37) * (CapacityTable[T ext] = $D50) * (CapacityTable[T water out] = $AC$8) * (CapacityTable[Type] = $C$46),Tableau2[]),1,7)</f>
        <v>2.0064230065074402</v>
      </c>
    </row>
    <row r="51" spans="2:32" x14ac:dyDescent="0.25">
      <c r="B51" s="277"/>
      <c r="C51" s="279"/>
      <c r="D51" s="37">
        <v>7</v>
      </c>
      <c r="E51" s="117" cm="1">
        <f t="array" ref="E51">INDEX(_xlfn._xlws.FILTER(CapacityTable[], (CapacityTable[Model] = $B$37) * (CapacityTable[T ext] = $D51) * (CapacityTable[T water out] = $E$8) * (CapacityTable[Type] = $C$46),Tableau2[]),1,5)</f>
        <v>3.12336655379774</v>
      </c>
      <c r="F51" s="104" cm="1">
        <f t="array" ref="F51">INDEX(_xlfn._xlws.FILTER(CapacityTable[], (CapacityTable[Model] = $B$37) * (CapacityTable[T ext] = $D51) * (CapacityTable[T water out] = $E$8) * (CapacityTable[Type] = $C$46),Tableau2[]),1,6)</f>
        <v>0.50462222116348976</v>
      </c>
      <c r="G51" s="99" cm="1">
        <f t="array" ref="G51">INDEX(_xlfn._xlws.FILTER(CapacityTable[], (CapacityTable[Model] = $B$37) * (CapacityTable[T ext] = $D51) * (CapacityTable[T water out] = $E$8) * (CapacityTable[Type] = $C$46),Tableau2[]),1,7)</f>
        <v>6.1895144977886698</v>
      </c>
      <c r="H51" s="93" cm="1">
        <f t="array" ref="H51">INDEX(_xlfn._xlws.FILTER(CapacityTable[], (CapacityTable[Model] = $B$37) * (CapacityTable[T ext] = $D51) * (CapacityTable[T water out] = $H$8) * (CapacityTable[Type] = $C$46),Tableau2[]),1,5)</f>
        <v>4.5377411380909294</v>
      </c>
      <c r="I51" s="104" cm="1">
        <f t="array" ref="I51">INDEX(_xlfn._xlws.FILTER(CapacityTable[], (CapacityTable[Model] = $B$37) * (CapacityTable[T ext] = $D51) * (CapacityTable[T water out] = $H$8) * (CapacityTable[Type] = $C$46),Tableau2[]),1,6)</f>
        <v>0.96001701227090031</v>
      </c>
      <c r="J51" s="99" cm="1">
        <f t="array" ref="J51">INDEX(_xlfn._xlws.FILTER(CapacityTable[], (CapacityTable[Model] = $B$37) * (CapacityTable[T ext] = $D51) * (CapacityTable[T water out] = $H$8) * (CapacityTable[Type] = $C$46),Tableau2[]),1,7)</f>
        <v>4.72672992258439</v>
      </c>
      <c r="K51" s="93" cm="1">
        <f t="array" ref="K51">INDEX(_xlfn._xlws.FILTER(CapacityTable[], (CapacityTable[Model] = $B$37) * (CapacityTable[T ext] = $D51) * (CapacityTable[T water out] = $K$8) * (CapacityTable[Type] = $C$46),Tableau2[]),1,5)</f>
        <v>4.9257993383977698</v>
      </c>
      <c r="L51" s="104" cm="1">
        <f t="array" ref="L51">INDEX(_xlfn._xlws.FILTER(CapacityTable[], (CapacityTable[Model] = $B$37) * (CapacityTable[T ext] = $D51) * (CapacityTable[T water out] = $K$8) * (CapacityTable[Type] = $C$46),Tableau2[]),1,6)</f>
        <v>1.1804125199119107</v>
      </c>
      <c r="M51" s="99" cm="1">
        <f t="array" ref="M51">INDEX(_xlfn._xlws.FILTER(CapacityTable[], (CapacityTable[Model] = $B$37) * (CapacityTable[T ext] = $D51) * (CapacityTable[T water out] = $K$8) * (CapacityTable[Type] = $C$46),Tableau2[]),1,7)</f>
        <v>4.1729473851779897</v>
      </c>
      <c r="N51" s="93" cm="1">
        <f t="array" ref="N51">INDEX(_xlfn._xlws.FILTER(CapacityTable[], (CapacityTable[Model] = $B$37) * (CapacityTable[T ext] = $D51) * (CapacityTable[T water out] = $N$8) * (CapacityTable[Type] = $C$46),Tableau2[]),1,5)</f>
        <v>5.4823500774551901</v>
      </c>
      <c r="O51" s="104" cm="1">
        <f t="array" ref="O51">INDEX(_xlfn._xlws.FILTER(CapacityTable[], (CapacityTable[Model] = $B$37) * (CapacityTable[T ext] = $D51) * (CapacityTable[T water out] = $N$8) * (CapacityTable[Type] = $C$46),Tableau2[]),1,6)</f>
        <v>1.4827343531874417</v>
      </c>
      <c r="P51" s="99" cm="1">
        <f t="array" ref="P51">INDEX(_xlfn._xlws.FILTER(CapacityTable[], (CapacityTable[Model] = $B$37) * (CapacityTable[T ext] = $D51) * (CapacityTable[T water out] = $N$8) * (CapacityTable[Type] = $C$46),Tableau2[]),1,7)</f>
        <v>3.6974594037494</v>
      </c>
      <c r="Q51" s="93" cm="1">
        <f t="array" ref="Q51">INDEX(_xlfn._xlws.FILTER(CapacityTable[], (CapacityTable[Model] = $B$37) * (CapacityTable[T ext] = $D51) * (CapacityTable[T water out] = $Q$8) * (CapacityTable[Type] = $C$46),Tableau2[]),1,5)</f>
        <v>6.0534808842301997</v>
      </c>
      <c r="R51" s="104" cm="1">
        <f t="array" ref="R51">INDEX(_xlfn._xlws.FILTER(CapacityTable[], (CapacityTable[Model] = $B$37) * (CapacityTable[T ext] = $D51) * (CapacityTable[T water out] = $Q$8) * (CapacityTable[Type] = $C$46),Tableau2[]),1,6)</f>
        <v>1.8194477806084104</v>
      </c>
      <c r="S51" s="99" cm="1">
        <f t="array" ref="S51">INDEX(_xlfn._xlws.FILTER(CapacityTable[], (CapacityTable[Model] = $B$37) * (CapacityTable[T ext] = $D51) * (CapacityTable[T water out] = $Q$8) * (CapacityTable[Type] = $C$46),Tableau2[]),1,7)</f>
        <v>3.3270978968167801</v>
      </c>
      <c r="T51" s="93" cm="1">
        <f t="array" ref="T51">INDEX(_xlfn._xlws.FILTER(CapacityTable[], (CapacityTable[Model] = $B$37) * (CapacityTable[T ext] = $D51) * (CapacityTable[T water out] = $T$8) * (CapacityTable[Type] = $C$46),Tableau2[]),1,5)</f>
        <v>5.9146743156589299</v>
      </c>
      <c r="U51" s="104" cm="1">
        <f t="array" ref="U51">INDEX(_xlfn._xlws.FILTER(CapacityTable[], (CapacityTable[Model] = $B$37) * (CapacityTable[T ext] = $D51) * (CapacityTable[T water out] = $T$8) * (CapacityTable[Type] = $C$46),Tableau2[]),1,6)</f>
        <v>1.9857126154696252</v>
      </c>
      <c r="V51" s="99" cm="1">
        <f t="array" ref="V51">INDEX(_xlfn._xlws.FILTER(CapacityTable[], (CapacityTable[Model] = $B$37) * (CapacityTable[T ext] = $D51) * (CapacityTable[T water out] = $T$8) * (CapacityTable[Type] = $C$46),Tableau2[]),1,7)</f>
        <v>2.9786154701243599</v>
      </c>
      <c r="W51" s="93" cm="1">
        <f t="array" ref="W51">INDEX(_xlfn._xlws.FILTER(CapacityTable[], (CapacityTable[Model] = $B$37) * (CapacityTable[T ext] = $D51) * (CapacityTable[T water out] = $W$8) * (CapacityTable[Type] = $C$46),Tableau2[]),1,5)</f>
        <v>6.4104951580118801</v>
      </c>
      <c r="X51" s="104" cm="1">
        <f t="array" ref="X51">INDEX(_xlfn._xlws.FILTER(CapacityTable[], (CapacityTable[Model] = $B$37) * (CapacityTable[T ext] = $D51) * (CapacityTable[T water out] = $W$8) * (CapacityTable[Type] = $C$46),Tableau2[]),1,6)</f>
        <v>2.3931812065342029</v>
      </c>
      <c r="Y51" s="99" cm="1">
        <f t="array" ref="Y51">INDEX(_xlfn._xlws.FILTER(CapacityTable[], (CapacityTable[Model] = $B$37) * (CapacityTable[T ext] = $D51) * (CapacityTable[T water out] = $W$8) * (CapacityTable[Type] = $C$46),Tableau2[]),1,7)</f>
        <v>2.6786501333492998</v>
      </c>
      <c r="Z51" s="93" cm="1">
        <f t="array" ref="Z51">INDEX(_xlfn._xlws.FILTER(CapacityTable[], (CapacityTable[Model] = $B$37) * (CapacityTable[T ext] = $D51) * (CapacityTable[T water out] = $Z$8) * (CapacityTable[Type] = $C$46),Tableau2[]),1,5)</f>
        <v>6.2654636367901304</v>
      </c>
      <c r="AA51" s="104" cm="1">
        <f t="array" ref="AA51">INDEX(_xlfn._xlws.FILTER(CapacityTable[], (CapacityTable[Model] = $B$37) * (CapacityTable[T ext] = $D51) * (CapacityTable[T water out] = $Z$8) * (CapacityTable[Type] = $C$46),Tableau2[]),1,6)</f>
        <v>2.5943360627073213</v>
      </c>
      <c r="AB51" s="99" cm="1">
        <f t="array" ref="AB51">INDEX(_xlfn._xlws.FILTER(CapacityTable[], (CapacityTable[Model] = $B$37) * (CapacityTable[T ext] = $D51) * (CapacityTable[T water out] = $Z$8) * (CapacityTable[Type] = $C$46),Tableau2[]),1,7)</f>
        <v>2.4150547521017001</v>
      </c>
      <c r="AC51" s="93" cm="1">
        <f t="array" ref="AC51">INDEX(_xlfn._xlws.FILTER(CapacityTable[], (CapacityTable[Model] = $B$37) * (CapacityTable[T ext] = $D51) * (CapacityTable[T water out] = $AC$8) * (CapacityTable[Type] = $C$46),Tableau2[]),1,5)</f>
        <v>6.1234750680566803</v>
      </c>
      <c r="AD51" s="104" cm="1">
        <f t="array" ref="AD51">INDEX(_xlfn._xlws.FILTER(CapacityTable[], (CapacityTable[Model] = $B$37) * (CapacityTable[T ext] = $D51) * (CapacityTable[T water out] = $AC$8) * (CapacityTable[Type] = $C$46),Tableau2[]),1,6)</f>
        <v>2.8055274374130552</v>
      </c>
      <c r="AE51" s="99" cm="1">
        <f t="array" ref="AE51">INDEX(_xlfn._xlws.FILTER(CapacityTable[], (CapacityTable[Model] = $B$37) * (CapacityTable[T ext] = $D51) * (CapacityTable[T water out] = $AC$8) * (CapacityTable[Type] = $C$46),Tableau2[]),1,7)</f>
        <v>2.1826466518905501</v>
      </c>
    </row>
    <row r="52" spans="2:32" x14ac:dyDescent="0.25">
      <c r="B52" s="277"/>
      <c r="C52" s="279"/>
      <c r="D52" s="37">
        <v>12</v>
      </c>
      <c r="E52" s="117" cm="1">
        <f t="array" ref="E52">INDEX(_xlfn._xlws.FILTER(CapacityTable[], (CapacityTable[Model] = $B$37) * (CapacityTable[T ext] = $D52) * (CapacityTable[T water out] = $E$8) * (CapacityTable[Type] = $C$46),Tableau2[]),1,5)</f>
        <v>3.6198325395539901</v>
      </c>
      <c r="F52" s="104" cm="1">
        <f t="array" ref="F52">INDEX(_xlfn._xlws.FILTER(CapacityTable[], (CapacityTable[Model] = $B$37) * (CapacityTable[T ext] = $D52) * (CapacityTable[T water out] = $E$8) * (CapacityTable[Type] = $C$46),Tableau2[]),1,6)</f>
        <v>0.48462737372570452</v>
      </c>
      <c r="G52" s="99" cm="1">
        <f t="array" ref="G52">INDEX(_xlfn._xlws.FILTER(CapacityTable[], (CapacityTable[Model] = $B$37) * (CapacityTable[T ext] = $D52) * (CapacityTable[T water out] = $E$8) * (CapacityTable[Type] = $C$46),Tableau2[]),1,7)</f>
        <v>7.4693109300152498</v>
      </c>
      <c r="H52" s="93" cm="1">
        <f t="array" ref="H52">INDEX(_xlfn._xlws.FILTER(CapacityTable[], (CapacityTable[Model] = $B$37) * (CapacityTable[T ext] = $D52) * (CapacityTable[T water out] = $H$8) * (CapacityTable[Type] = $C$46),Tableau2[]),1,5)</f>
        <v>4.5222579485080194</v>
      </c>
      <c r="I52" s="104" cm="1">
        <f t="array" ref="I52">INDEX(_xlfn._xlws.FILTER(CapacityTable[], (CapacityTable[Model] = $B$37) * (CapacityTable[T ext] = $D52) * (CapacityTable[T water out] = $H$8) * (CapacityTable[Type] = $C$46),Tableau2[]),1,6)</f>
        <v>0.81208906634604872</v>
      </c>
      <c r="J52" s="99" cm="1">
        <f t="array" ref="J52">INDEX(_xlfn._xlws.FILTER(CapacityTable[], (CapacityTable[Model] = $B$37) * (CapacityTable[T ext] = $D52) * (CapacityTable[T water out] = $H$8) * (CapacityTable[Type] = $C$46),Tableau2[]),1,7)</f>
        <v>5.5686723734081003</v>
      </c>
      <c r="K52" s="93" cm="1">
        <f t="array" ref="K52">INDEX(_xlfn._xlws.FILTER(CapacityTable[], (CapacityTable[Model] = $B$37) * (CapacityTable[T ext] = $D52) * (CapacityTable[T water out] = $K$8) * (CapacityTable[Type] = $C$46),Tableau2[]),1,5)</f>
        <v>4.4122388237326504</v>
      </c>
      <c r="L52" s="104" cm="1">
        <f t="array" ref="L52">INDEX(_xlfn._xlws.FILTER(CapacityTable[], (CapacityTable[Model] = $B$37) * (CapacityTable[T ext] = $D52) * (CapacityTable[T water out] = $K$8) * (CapacityTable[Type] = $C$46),Tableau2[]),1,6)</f>
        <v>0.90919464472980382</v>
      </c>
      <c r="M52" s="99" cm="1">
        <f t="array" ref="M52">INDEX(_xlfn._xlws.FILTER(CapacityTable[], (CapacityTable[Model] = $B$37) * (CapacityTable[T ext] = $D52) * (CapacityTable[T water out] = $K$8) * (CapacityTable[Type] = $C$46),Tableau2[]),1,7)</f>
        <v>4.8529089445350699</v>
      </c>
      <c r="N52" s="93" cm="1">
        <f t="array" ref="N52">INDEX(_xlfn._xlws.FILTER(CapacityTable[], (CapacityTable[Model] = $B$37) * (CapacityTable[T ext] = $D52) * (CapacityTable[T water out] = $N$8) * (CapacityTable[Type] = $C$46),Tableau2[]),1,5)</f>
        <v>4.9658059709135998</v>
      </c>
      <c r="O52" s="104" cm="1">
        <f t="array" ref="O52">INDEX(_xlfn._xlws.FILTER(CapacityTable[], (CapacityTable[Model] = $B$37) * (CapacityTable[T ext] = $D52) * (CapacityTable[T water out] = $N$8) * (CapacityTable[Type] = $C$46),Tableau2[]),1,6)</f>
        <v>1.167118014522925</v>
      </c>
      <c r="P52" s="99" cm="1">
        <f t="array" ref="P52">INDEX(_xlfn._xlws.FILTER(CapacityTable[], (CapacityTable[Model] = $B$37) * (CapacityTable[T ext] = $D52) * (CapacityTable[T water out] = $N$8) * (CapacityTable[Type] = $C$46),Tableau2[]),1,7)</f>
        <v>4.2547590810201301</v>
      </c>
      <c r="Q52" s="93" cm="1">
        <f t="array" ref="Q52">INDEX(_xlfn._xlws.FILTER(CapacityTable[], (CapacityTable[Model] = $B$37) * (CapacityTable[T ext] = $D52) * (CapacityTable[T water out] = $Q$8) * (CapacityTable[Type] = $C$46),Tableau2[]),1,5)</f>
        <v>6.1019394924142496</v>
      </c>
      <c r="R52" s="104" cm="1">
        <f t="array" ref="R52">INDEX(_xlfn._xlws.FILTER(CapacityTable[], (CapacityTable[Model] = $B$37) * (CapacityTable[T ext] = $D52) * (CapacityTable[T water out] = $Q$8) * (CapacityTable[Type] = $C$46),Tableau2[]),1,6)</f>
        <v>1.6130945026462638</v>
      </c>
      <c r="S52" s="99" cm="1">
        <f t="array" ref="S52">INDEX(_xlfn._xlws.FILTER(CapacityTable[], (CapacityTable[Model] = $B$37) * (CapacityTable[T ext] = $D52) * (CapacityTable[T water out] = $Q$8) * (CapacityTable[Type] = $C$46),Tableau2[]),1,7)</f>
        <v>3.7827538823076301</v>
      </c>
      <c r="T52" s="93" cm="1">
        <f t="array" ref="T52">INDEX(_xlfn._xlws.FILTER(CapacityTable[], (CapacityTable[Model] = $B$37) * (CapacityTable[T ext] = $D52) * (CapacityTable[T water out] = $T$8) * (CapacityTable[Type] = $C$46),Tableau2[]),1,5)</f>
        <v>5.9508411442583098</v>
      </c>
      <c r="U52" s="104" cm="1">
        <f t="array" ref="U52">INDEX(_xlfn._xlws.FILTER(CapacityTable[], (CapacityTable[Model] = $B$37) * (CapacityTable[T ext] = $D52) * (CapacityTable[T water out] = $T$8) * (CapacityTable[Type] = $C$46),Tableau2[]),1,6)</f>
        <v>1.7738888783616451</v>
      </c>
      <c r="V52" s="99" cm="1">
        <f t="array" ref="V52">INDEX(_xlfn._xlws.FILTER(CapacityTable[], (CapacityTable[Model] = $B$37) * (CapacityTable[T ext] = $D52) * (CapacityTable[T water out] = $T$8) * (CapacityTable[Type] = $C$46),Tableau2[]),1,7)</f>
        <v>3.3546865403172701</v>
      </c>
      <c r="W52" s="93" cm="1">
        <f t="array" ref="W52">INDEX(_xlfn._xlws.FILTER(CapacityTable[], (CapacityTable[Model] = $B$37) * (CapacityTable[T ext] = $D52) * (CapacityTable[T water out] = $W$8) * (CapacityTable[Type] = $C$46),Tableau2[]),1,5)</f>
        <v>6.5165519535851804</v>
      </c>
      <c r="X52" s="104" cm="1">
        <f t="array" ref="X52">INDEX(_xlfn._xlws.FILTER(CapacityTable[], (CapacityTable[Model] = $B$37) * (CapacityTable[T ext] = $D52) * (CapacityTable[T water out] = $W$8) * (CapacityTable[Type] = $C$46),Tableau2[]),1,6)</f>
        <v>2.1807234732677885</v>
      </c>
      <c r="Y52" s="99" cm="1">
        <f t="array" ref="Y52">INDEX(_xlfn._xlws.FILTER(CapacityTable[], (CapacityTable[Model] = $B$37) * (CapacityTable[T ext] = $D52) * (CapacityTable[T water out] = $W$8) * (CapacityTable[Type] = $C$46),Tableau2[]),1,7)</f>
        <v>2.9882523086800199</v>
      </c>
      <c r="Z52" s="93" cm="1">
        <f t="array" ref="Z52">INDEX(_xlfn._xlws.FILTER(CapacityTable[], (CapacityTable[Model] = $B$37) * (CapacityTable[T ext] = $D52) * (CapacityTable[T water out] = $Z$8) * (CapacityTable[Type] = $C$46),Tableau2[]),1,5)</f>
        <v>6.3585965830380005</v>
      </c>
      <c r="AA52" s="104" cm="1">
        <f t="array" ref="AA52">INDEX(_xlfn._xlws.FILTER(CapacityTable[], (CapacityTable[Model] = $B$37) * (CapacityTable[T ext] = $D52) * (CapacityTable[T water out] = $Z$8) * (CapacityTable[Type] = $C$46),Tableau2[]),1,6)</f>
        <v>2.3773118537695002</v>
      </c>
      <c r="AB52" s="99" cm="1">
        <f t="array" ref="AB52">INDEX(_xlfn._xlws.FILTER(CapacityTable[], (CapacityTable[Model] = $B$37) * (CapacityTable[T ext] = $D52) * (CapacityTable[T water out] = $Z$8) * (CapacityTable[Type] = $C$46),Tableau2[]),1,7)</f>
        <v>2.6747002388246699</v>
      </c>
      <c r="AC52" s="93" cm="1">
        <f t="array" ref="AC52">INDEX(_xlfn._xlws.FILTER(CapacityTable[], (CapacityTable[Model] = $B$37) * (CapacityTable[T ext] = $D52) * (CapacityTable[T water out] = $AC$8) * (CapacityTable[Type] = $C$46),Tableau2[]),1,5)</f>
        <v>6.2005184734365404</v>
      </c>
      <c r="AD52" s="104" cm="1">
        <f t="array" ref="AD52">INDEX(_xlfn._xlws.FILTER(CapacityTable[], (CapacityTable[Model] = $B$37) * (CapacityTable[T ext] = $D52) * (CapacityTable[T water out] = $AC$8) * (CapacityTable[Type] = $C$46),Tableau2[]),1,6)</f>
        <v>2.5849883182658213</v>
      </c>
      <c r="AE52" s="99" cm="1">
        <f t="array" ref="AE52">INDEX(_xlfn._xlws.FILTER(CapacityTable[], (CapacityTable[Model] = $B$37) * (CapacityTable[T ext] = $D52) * (CapacityTable[T water out] = $AC$8) * (CapacityTable[Type] = $C$46),Tableau2[]),1,7)</f>
        <v>2.3986640208866601</v>
      </c>
    </row>
    <row r="53" spans="2:32" x14ac:dyDescent="0.25">
      <c r="B53" s="277"/>
      <c r="C53" s="280"/>
      <c r="D53" s="38">
        <v>15</v>
      </c>
      <c r="E53" s="115" cm="1">
        <f t="array" ref="E53">INDEX(_xlfn._xlws.FILTER(CapacityTable[], (CapacityTable[Model] = $B$37) * (CapacityTable[T ext] = $D53) * (CapacityTable[T water out] = $E$8) * (CapacityTable[Type] = $C$46),Tableau2[]),1,5)</f>
        <v>3.9179059117451804</v>
      </c>
      <c r="F53" s="77" cm="1">
        <f t="array" ref="F53">INDEX(_xlfn._xlws.FILTER(CapacityTable[], (CapacityTable[Model] = $B$37) * (CapacityTable[T ext] = $D53) * (CapacityTable[T water out] = $E$8) * (CapacityTable[Type] = $C$46),Tableau2[]),1,6)</f>
        <v>0.48150527950436439</v>
      </c>
      <c r="G53" s="78" cm="1">
        <f t="array" ref="G53">INDEX(_xlfn._xlws.FILTER(CapacityTable[], (CapacityTable[Model] = $B$37) * (CapacityTable[T ext] = $D53) * (CapacityTable[T water out] = $E$8) * (CapacityTable[Type] = $C$46),Tableau2[]),1,7)</f>
        <v>8.1367870270873492</v>
      </c>
      <c r="H53" s="75" cm="1">
        <f t="array" ref="H53">INDEX(_xlfn._xlws.FILTER(CapacityTable[], (CapacityTable[Model] = $B$37) * (CapacityTable[T ext] = $D53) * (CapacityTable[T water out] = $H$8) * (CapacityTable[Type] = $C$46),Tableau2[]),1,5)</f>
        <v>3.7330738112254398</v>
      </c>
      <c r="I53" s="77" cm="1">
        <f t="array" ref="I53">INDEX(_xlfn._xlws.FILTER(CapacityTable[], (CapacityTable[Model] = $B$37) * (CapacityTable[T ext] = $D53) * (CapacityTable[T water out] = $H$8) * (CapacityTable[Type] = $C$46),Tableau2[]),1,6)</f>
        <v>0.61501517966839514</v>
      </c>
      <c r="J53" s="78" cm="1">
        <f t="array" ref="J53">INDEX(_xlfn._xlws.FILTER(CapacityTable[], (CapacityTable[Model] = $B$37) * (CapacityTable[T ext] = $D53) * (CapacityTable[T water out] = $H$8) * (CapacityTable[Type] = $C$46),Tableau2[]),1,7)</f>
        <v>6.0698888980890597</v>
      </c>
      <c r="K53" s="75" cm="1">
        <f t="array" ref="K53">INDEX(_xlfn._xlws.FILTER(CapacityTable[], (CapacityTable[Model] = $B$37) * (CapacityTable[T ext] = $D53) * (CapacityTable[T water out] = $K$8) * (CapacityTable[Type] = $C$46),Tableau2[]),1,5)</f>
        <v>3.6423523714564898</v>
      </c>
      <c r="L53" s="77" cm="1">
        <f t="array" ref="L53">INDEX(_xlfn._xlws.FILTER(CapacityTable[], (CapacityTable[Model] = $B$37) * (CapacityTable[T ext] = $D53) * (CapacityTable[T water out] = $K$8) * (CapacityTable[Type] = $C$46),Tableau2[]),1,6)</f>
        <v>0.69605625178797792</v>
      </c>
      <c r="M53" s="78" cm="1">
        <f t="array" ref="M53">INDEX(_xlfn._xlws.FILTER(CapacityTable[], (CapacityTable[Model] = $B$37) * (CapacityTable[T ext] = $D53) * (CapacityTable[T water out] = $K$8) * (CapacityTable[Type] = $C$46),Tableau2[]),1,7)</f>
        <v>5.2328419751999702</v>
      </c>
      <c r="N53" s="75" cm="1">
        <f t="array" ref="N53">INDEX(_xlfn._xlws.FILTER(CapacityTable[], (CapacityTable[Model] = $B$37) * (CapacityTable[T ext] = $D53) * (CapacityTable[T water out] = $N$8) * (CapacityTable[Type] = $C$46),Tableau2[]),1,5)</f>
        <v>4.0856367200334995</v>
      </c>
      <c r="O53" s="77" cm="1">
        <f t="array" ref="O53">INDEX(_xlfn._xlws.FILTER(CapacityTable[], (CapacityTable[Model] = $B$37) * (CapacityTable[T ext] = $D53) * (CapacityTable[T water out] = $N$8) * (CapacityTable[Type] = $C$46),Tableau2[]),1,6)</f>
        <v>0.90064935286764736</v>
      </c>
      <c r="P53" s="78" cm="1">
        <f t="array" ref="P53">INDEX(_xlfn._xlws.FILTER(CapacityTable[], (CapacityTable[Model] = $B$37) * (CapacityTable[T ext] = $D53) * (CapacityTable[T water out] = $N$8) * (CapacityTable[Type] = $C$46),Tableau2[]),1,7)</f>
        <v>4.53632338381738</v>
      </c>
      <c r="Q53" s="75" cm="1">
        <f t="array" ref="Q53">INDEX(_xlfn._xlws.FILTER(CapacityTable[], (CapacityTable[Model] = $B$37) * (CapacityTable[T ext] = $D53) * (CapacityTable[T water out] = $Q$8) * (CapacityTable[Type] = $C$46),Tableau2[]),1,5)</f>
        <v>4.4909964305359695</v>
      </c>
      <c r="R53" s="77" cm="1">
        <f t="array" ref="R53">INDEX(_xlfn._xlws.FILTER(CapacityTable[], (CapacityTable[Model] = $B$37) * (CapacityTable[T ext] = $D53) * (CapacityTable[T water out] = $Q$8) * (CapacityTable[Type] = $C$46),Tableau2[]),1,6)</f>
        <v>1.1321293309319231</v>
      </c>
      <c r="S53" s="78" cm="1">
        <f t="array" ref="S53">INDEX(_xlfn._xlws.FILTER(CapacityTable[], (CapacityTable[Model] = $B$37) * (CapacityTable[T ext] = $D53) * (CapacityTable[T water out] = $Q$8) * (CapacityTable[Type] = $C$46),Tableau2[]),1,7)</f>
        <v>3.96685812109396</v>
      </c>
      <c r="T53" s="75" cm="1">
        <f t="array" ref="T53">INDEX(_xlfn._xlws.FILTER(CapacityTable[], (CapacityTable[Model] = $B$37) * (CapacityTable[T ext] = $D53) * (CapacityTable[T water out] = $T$8) * (CapacityTable[Type] = $C$46),Tableau2[]),1,5)</f>
        <v>5.0160701273208996</v>
      </c>
      <c r="U53" s="77" cm="1">
        <f t="array" ref="U53">INDEX(_xlfn._xlws.FILTER(CapacityTable[], (CapacityTable[Model] = $B$37) * (CapacityTable[T ext] = $D53) * (CapacityTable[T water out] = $T$8) * (CapacityTable[Type] = $C$46),Tableau2[]),1,6)</f>
        <v>1.4353581376901949</v>
      </c>
      <c r="V53" s="78" cm="1">
        <f t="array" ref="V53">INDEX(_xlfn._xlws.FILTER(CapacityTable[], (CapacityTable[Model] = $B$37) * (CapacityTable[T ext] = $D53) * (CapacityTable[T water out] = $T$8) * (CapacityTable[Type] = $C$46),Tableau2[]),1,7)</f>
        <v>3.49464708187244</v>
      </c>
      <c r="W53" s="75" cm="1">
        <f t="array" ref="W53">INDEX(_xlfn._xlws.FILTER(CapacityTable[], (CapacityTable[Model] = $B$37) * (CapacityTable[T ext] = $D53) * (CapacityTable[T water out] = $W$8) * (CapacityTable[Type] = $C$46),Tableau2[]),1,5)</f>
        <v>5.39358549208161</v>
      </c>
      <c r="X53" s="77" cm="1">
        <f t="array" ref="X53">INDEX(_xlfn._xlws.FILTER(CapacityTable[], (CapacityTable[Model] = $B$37) * (CapacityTable[T ext] = $D53) * (CapacityTable[T water out] = $W$8) * (CapacityTable[Type] = $C$46),Tableau2[]),1,6)</f>
        <v>1.7414553847196865</v>
      </c>
      <c r="Y53" s="78" cm="1">
        <f t="array" ref="Y53">INDEX(_xlfn._xlws.FILTER(CapacityTable[], (CapacityTable[Model] = $B$37) * (CapacityTable[T ext] = $D53) * (CapacityTable[T water out] = $W$8) * (CapacityTable[Type] = $C$46),Tableau2[]),1,7)</f>
        <v>3.09717121633282</v>
      </c>
      <c r="Z53" s="75" cm="1">
        <f t="array" ref="Z53">INDEX(_xlfn._xlws.FILTER(CapacityTable[], (CapacityTable[Model] = $B$37) * (CapacityTable[T ext] = $D53) * (CapacityTable[T water out] = $Z$8) * (CapacityTable[Type] = $C$46),Tableau2[]),1,5)</f>
        <v>5.9357854017072107</v>
      </c>
      <c r="AA53" s="77" cm="1">
        <f t="array" ref="AA53">INDEX(_xlfn._xlws.FILTER(CapacityTable[], (CapacityTable[Model] = $B$37) * (CapacityTable[T ext] = $D53) * (CapacityTable[T water out] = $Z$8) * (CapacityTable[Type] = $C$46),Tableau2[]),1,6)</f>
        <v>2.1490170633131638</v>
      </c>
      <c r="AB53" s="78" cm="1">
        <f t="array" ref="AB53">INDEX(_xlfn._xlws.FILTER(CapacityTable[], (CapacityTable[Model] = $B$37) * (CapacityTable[T ext] = $D53) * (CapacityTable[T water out] = $Z$8) * (CapacityTable[Type] = $C$46),Tableau2[]),1,7)</f>
        <v>2.7620931927622498</v>
      </c>
      <c r="AC53" s="75" cm="1">
        <f t="array" ref="AC53">INDEX(_xlfn._xlws.FILTER(CapacityTable[], (CapacityTable[Model] = $B$37) * (CapacityTable[T ext] = $D53) * (CapacityTable[T water out] = $AC$8) * (CapacityTable[Type] = $C$46),Tableau2[]),1,5)</f>
        <v>5.8010055841658206</v>
      </c>
      <c r="AD53" s="77" cm="1">
        <f t="array" ref="AD53">INDEX(_xlfn._xlws.FILTER(CapacityTable[], (CapacityTable[Model] = $B$37) * (CapacityTable[T ext] = $D53) * (CapacityTable[T water out] = $AC$8) * (CapacityTable[Type] = $C$46),Tableau2[]),1,6)</f>
        <v>2.3442282518382482</v>
      </c>
      <c r="AE53" s="78" cm="1">
        <f t="array" ref="AE53">INDEX(_xlfn._xlws.FILTER(CapacityTable[], (CapacityTable[Model] = $B$37) * (CapacityTable[T ext] = $D53) * (CapacityTable[T water out] = $AC$8) * (CapacityTable[Type] = $C$46),Tableau2[]),1,7)</f>
        <v>2.4745907654755501</v>
      </c>
    </row>
    <row r="54" spans="2:32" ht="15.75" thickBot="1" x14ac:dyDescent="0.3">
      <c r="B54" s="277"/>
      <c r="C54" s="281"/>
      <c r="D54" s="48">
        <v>20</v>
      </c>
      <c r="E54" s="116" cm="1">
        <f t="array" ref="E54">INDEX(_xlfn._xlws.FILTER(CapacityTable[], (CapacityTable[Model] = $B$37) * (CapacityTable[T ext] = $D54) * (CapacityTable[T water out] = $E$8) * (CapacityTable[Type] = $C$46),Tableau2[]),1,5)</f>
        <v>4.0699803433311201</v>
      </c>
      <c r="F54" s="79" cm="1">
        <f t="array" ref="F54">INDEX(_xlfn._xlws.FILTER(CapacityTable[], (CapacityTable[Model] = $B$37) * (CapacityTable[T ext] = $D54) * (CapacityTable[T water out] = $E$8) * (CapacityTable[Type] = $C$46),Tableau2[]),1,6)</f>
        <v>0.44393999571279907</v>
      </c>
      <c r="G54" s="80" cm="1">
        <f t="array" ref="G54">INDEX(_xlfn._xlws.FILTER(CapacityTable[], (CapacityTable[Model] = $B$37) * (CapacityTable[T ext] = $D54) * (CapacityTable[T water out] = $E$8) * (CapacityTable[Type] = $C$46),Tableau2[]),1,7)</f>
        <v>9.1678613836004494</v>
      </c>
      <c r="H54" s="76" cm="1">
        <f t="array" ref="H54">INDEX(_xlfn._xlws.FILTER(CapacityTable[], (CapacityTable[Model] = $B$37) * (CapacityTable[T ext] = $D54) * (CapacityTable[T water out] = $H$8) * (CapacityTable[Type] = $C$46),Tableau2[]),1,5)</f>
        <v>3.8746789570732698</v>
      </c>
      <c r="I54" s="79" cm="1">
        <f t="array" ref="I54">INDEX(_xlfn._xlws.FILTER(CapacityTable[], (CapacityTable[Model] = $B$37) * (CapacityTable[T ext] = $D54) * (CapacityTable[T water out] = $H$8) * (CapacityTable[Type] = $C$46),Tableau2[]),1,6)</f>
        <v>0.5615909671191045</v>
      </c>
      <c r="J54" s="80" cm="1">
        <f t="array" ref="J54">INDEX(_xlfn._xlws.FILTER(CapacityTable[], (CapacityTable[Model] = $B$37) * (CapacityTable[T ext] = $D54) * (CapacityTable[T water out] = $H$8) * (CapacityTable[Type] = $C$46),Tableau2[]),1,7)</f>
        <v>6.8994680896488001</v>
      </c>
      <c r="K54" s="76" cm="1">
        <f t="array" ref="K54">INDEX(_xlfn._xlws.FILTER(CapacityTable[], (CapacityTable[Model] = $B$37) * (CapacityTable[T ext] = $D54) * (CapacityTable[T water out] = $K$8) * (CapacityTable[Type] = $C$46),Tableau2[]),1,5)</f>
        <v>3.7753376059329797</v>
      </c>
      <c r="L54" s="79" cm="1">
        <f t="array" ref="L54">INDEX(_xlfn._xlws.FILTER(CapacityTable[], (CapacityTable[Model] = $B$37) * (CapacityTable[T ext] = $D54) * (CapacityTable[T water out] = $K$8) * (CapacityTable[Type] = $C$46),Tableau2[]),1,6)</f>
        <v>0.63548998068305229</v>
      </c>
      <c r="M54" s="80" cm="1">
        <f t="array" ref="M54">INDEX(_xlfn._xlws.FILTER(CapacityTable[], (CapacityTable[Model] = $B$37) * (CapacityTable[T ext] = $D54) * (CapacityTable[T water out] = $K$8) * (CapacityTable[Type] = $C$46),Tableau2[]),1,7)</f>
        <v>5.9408294712610301</v>
      </c>
      <c r="N54" s="76" cm="1">
        <f t="array" ref="N54">INDEX(_xlfn._xlws.FILTER(CapacityTable[], (CapacityTable[Model] = $B$37) * (CapacityTable[T ext] = $D54) * (CapacityTable[T water out] = $N$8) * (CapacityTable[Type] = $C$46),Tableau2[]),1,5)</f>
        <v>3.67649502108288</v>
      </c>
      <c r="O54" s="79" cm="1">
        <f t="array" ref="O54">INDEX(_xlfn._xlws.FILTER(CapacityTable[], (CapacityTable[Model] = $B$37) * (CapacityTable[T ext] = $D54) * (CapacityTable[T water out] = $N$8) * (CapacityTable[Type] = $C$46),Tableau2[]),1,6)</f>
        <v>0.7193948375826924</v>
      </c>
      <c r="P54" s="80" cm="1">
        <f t="array" ref="P54">INDEX(_xlfn._xlws.FILTER(CapacityTable[], (CapacityTable[Model] = $B$37) * (CapacityTable[T ext] = $D54) * (CapacityTable[T water out] = $N$8) * (CapacityTable[Type] = $C$46),Tableau2[]),1,7)</f>
        <v>5.1105385096126401</v>
      </c>
      <c r="Q54" s="76" cm="1">
        <f t="array" ref="Q54">INDEX(_xlfn._xlws.FILTER(CapacityTable[], (CapacityTable[Model] = $B$37) * (CapacityTable[T ext] = $D54) * (CapacityTable[T water out] = $Q$8) * (CapacityTable[Type] = $C$46),Tableau2[]),1,5)</f>
        <v>4.4434506932548805</v>
      </c>
      <c r="R54" s="79" cm="1">
        <f t="array" ref="R54">INDEX(_xlfn._xlws.FILTER(CapacityTable[], (CapacityTable[Model] = $B$37) * (CapacityTable[T ext] = $D54) * (CapacityTable[T water out] = $Q$8) * (CapacityTable[Type] = $C$46),Tableau2[]),1,6)</f>
        <v>1.0069987326339482</v>
      </c>
      <c r="S54" s="80" cm="1">
        <f t="array" ref="S54">INDEX(_xlfn._xlws.FILTER(CapacityTable[], (CapacityTable[Model] = $B$37) * (CapacityTable[T ext] = $D54) * (CapacityTable[T water out] = $Q$8) * (CapacityTable[Type] = $C$46),Tableau2[]),1,7)</f>
        <v>4.4125683074420596</v>
      </c>
      <c r="T54" s="76" cm="1">
        <f t="array" ref="T54">INDEX(_xlfn._xlws.FILTER(CapacityTable[], (CapacityTable[Model] = $B$37) * (CapacityTable[T ext] = $D54) * (CapacityTable[T water out] = $T$8) * (CapacityTable[Type] = $C$46),Tableau2[]),1,5)</f>
        <v>4.8628678939704493</v>
      </c>
      <c r="U54" s="79" cm="1">
        <f t="array" ref="U54">INDEX(_xlfn._xlws.FILTER(CapacityTable[], (CapacityTable[Model] = $B$37) * (CapacityTable[T ext] = $D54) * (CapacityTable[T water out] = $T$8) * (CapacityTable[Type] = $C$46),Tableau2[]),1,6)</f>
        <v>1.2622028191332026</v>
      </c>
      <c r="V54" s="80" cm="1">
        <f t="array" ref="V54">INDEX(_xlfn._xlws.FILTER(CapacityTable[], (CapacityTable[Model] = $B$37) * (CapacityTable[T ext] = $D54) * (CapacityTable[T water out] = $T$8) * (CapacityTable[Type] = $C$46),Tableau2[]),1,7)</f>
        <v>3.8526834358601301</v>
      </c>
      <c r="W54" s="76" cm="1">
        <f t="array" ref="W54">INDEX(_xlfn._xlws.FILTER(CapacityTable[], (CapacityTable[Model] = $B$37) * (CapacityTable[T ext] = $D54) * (CapacityTable[T water out] = $W$8) * (CapacityTable[Type] = $C$46),Tableau2[]),1,5)</f>
        <v>5.9490829172089699</v>
      </c>
      <c r="X54" s="79" cm="1">
        <f t="array" ref="X54">INDEX(_xlfn._xlws.FILTER(CapacityTable[], (CapacityTable[Model] = $B$37) * (CapacityTable[T ext] = $D54) * (CapacityTable[T water out] = $W$8) * (CapacityTable[Type] = $C$46),Tableau2[]),1,6)</f>
        <v>1.7531131175475292</v>
      </c>
      <c r="Y54" s="80" cm="1">
        <f t="array" ref="Y54">INDEX(_xlfn._xlws.FILTER(CapacityTable[], (CapacityTable[Model] = $B$37) * (CapacityTable[T ext] = $D54) * (CapacityTable[T water out] = $W$8) * (CapacityTable[Type] = $C$46),Tableau2[]),1,7)</f>
        <v>3.39343928104952</v>
      </c>
      <c r="Z54" s="76" cm="1">
        <f t="array" ref="Z54">INDEX(_xlfn._xlws.FILTER(CapacityTable[], (CapacityTable[Model] = $B$37) * (CapacityTable[T ext] = $D54) * (CapacityTable[T water out] = $Z$8) * (CapacityTable[Type] = $C$46),Tableau2[]),1,5)</f>
        <v>5.8019476489326998</v>
      </c>
      <c r="AA54" s="79" cm="1">
        <f t="array" ref="AA54">INDEX(_xlfn._xlws.FILTER(CapacityTable[], (CapacityTable[Model] = $B$37) * (CapacityTable[T ext] = $D54) * (CapacityTable[T water out] = $Z$8) * (CapacityTable[Type] = $C$46),Tableau2[]),1,6)</f>
        <v>1.9289895032598607</v>
      </c>
      <c r="AB54" s="80" cm="1">
        <f t="array" ref="AB54">INDEX(_xlfn._xlws.FILTER(CapacityTable[], (CapacityTable[Model] = $B$37) * (CapacityTable[T ext] = $D54) * (CapacityTable[T water out] = $Z$8) * (CapacityTable[Type] = $C$46),Tableau2[]),1,7)</f>
        <v>3.00776527768959</v>
      </c>
      <c r="AC54" s="76" cm="1">
        <f t="array" ref="AC54">INDEX(_xlfn._xlws.FILTER(CapacityTable[], (CapacityTable[Model] = $B$37) * (CapacityTable[T ext] = $D54) * (CapacityTable[T water out] = $AC$8) * (CapacityTable[Type] = $C$46),Tableau2[]),1,5)</f>
        <v>6.3597786849781599</v>
      </c>
      <c r="AD54" s="79" cm="1">
        <f t="array" ref="AD54">INDEX(_xlfn._xlws.FILTER(CapacityTable[], (CapacityTable[Model] = $B$37) * (CapacityTable[T ext] = $D54) * (CapacityTable[T water out] = $AC$8) * (CapacityTable[Type] = $C$46),Tableau2[]),1,6)</f>
        <v>2.3735059319904606</v>
      </c>
      <c r="AE54" s="80" cm="1">
        <f t="array" ref="AE54">INDEX(_xlfn._xlws.FILTER(CapacityTable[], (CapacityTable[Model] = $B$37) * (CapacityTable[T ext] = $D54) * (CapacityTable[T water out] = $AC$8) * (CapacityTable[Type] = $C$46),Tableau2[]),1,7)</f>
        <v>2.6794871667519899</v>
      </c>
    </row>
    <row r="55" spans="2:32" x14ac:dyDescent="0.25">
      <c r="B55" s="277"/>
      <c r="C55" s="282" t="s">
        <v>166</v>
      </c>
      <c r="D55" s="42">
        <v>-20</v>
      </c>
      <c r="E55" s="83" cm="1">
        <f t="array" ref="E55">INDEX(_xlfn._xlws.FILTER(CapacityTable[], (CapacityTable[Model] = $B$37) * (CapacityTable[T ext] = $D55) * (CapacityTable[T water out] = $E$8) * (CapacityTable[Type] = $C$55),Tableau2[]),1,5)</f>
        <v>2.3265339072015201</v>
      </c>
      <c r="F55" s="84" cm="1">
        <f t="array" ref="F55">INDEX(_xlfn._xlws.FILTER(CapacityTable[], (CapacityTable[Model] = $B$37) * (CapacityTable[T ext] = $D55) * (CapacityTable[T water out] = $E$8) * (CapacityTable[Type] = $C$55),Tableau2[]),1,6)</f>
        <v>0.84774821326886163</v>
      </c>
      <c r="G55" s="85" cm="1">
        <f t="array" ref="G55">INDEX(_xlfn._xlws.FILTER(CapacityTable[], (CapacityTable[Model] = $B$37) * (CapacityTable[T ext] = $D55) * (CapacityTable[T water out] = $E$8) * (CapacityTable[Type] = $C$55),Tableau2[]),1,7)</f>
        <v>2.7443689892669401</v>
      </c>
      <c r="H55" s="83" cm="1">
        <f t="array" ref="H55">INDEX(_xlfn._xlws.FILTER(CapacityTable[], (CapacityTable[Model] = $B$37) * (CapacityTable[T ext] = $D55) * (CapacityTable[T water out] = $H$8) * (CapacityTable[Type] = $C$55),Tableau2[]),1,5)</f>
        <v>2.1177366713628398</v>
      </c>
      <c r="I55" s="84" cm="1">
        <f t="array" ref="I55">INDEX(_xlfn._xlws.FILTER(CapacityTable[], (CapacityTable[Model] = $B$37) * (CapacityTable[T ext] = $D55) * (CapacityTable[T water out] = $H$8) * (CapacityTable[Type] = $C$55),Tableau2[]),1,6)</f>
        <v>0.98688387926874621</v>
      </c>
      <c r="J55" s="85" cm="1">
        <f t="array" ref="J55">INDEX(_xlfn._xlws.FILTER(CapacityTable[], (CapacityTable[Model] = $B$37) * (CapacityTable[T ext] = $D55) * (CapacityTable[T water out] = $H$8) * (CapacityTable[Type] = $C$55),Tableau2[]),1,7)</f>
        <v>2.1458823229861901</v>
      </c>
      <c r="K55" s="83" cm="1">
        <f t="array" ref="K55">INDEX(_xlfn._xlws.FILTER(CapacityTable[], (CapacityTable[Model] = $B$37) * (CapacityTable[T ext] = $D55) * (CapacityTable[T water out] = $K$8) * (CapacityTable[Type] = $C$55),Tableau2[]),1,5)</f>
        <v>2.0378904650080103</v>
      </c>
      <c r="L55" s="84" cm="1">
        <f t="array" ref="L55">INDEX(_xlfn._xlws.FILTER(CapacityTable[], (CapacityTable[Model] = $B$37) * (CapacityTable[T ext] = $D55) * (CapacityTable[T water out] = $K$8) * (CapacityTable[Type] = $C$55),Tableau2[]),1,6)</f>
        <v>1.0577823047820056</v>
      </c>
      <c r="M55" s="85" cm="1">
        <f t="array" ref="M55">INDEX(_xlfn._xlws.FILTER(CapacityTable[], (CapacityTable[Model] = $B$37) * (CapacityTable[T ext] = $D55) * (CapacityTable[T water out] = $K$8) * (CapacityTable[Type] = $C$55),Tableau2[]),1,7)</f>
        <v>1.9265688750843599</v>
      </c>
      <c r="N55" s="83" cm="1">
        <f t="array" ref="N55">INDEX(_xlfn._xlws.FILTER(CapacityTable[], (CapacityTable[Model] = $B$37) * (CapacityTable[T ext] = $D55) * (CapacityTable[T water out] = $N$8) * (CapacityTable[Type] = $C$55),Tableau2[]),1,5)</f>
        <v>1.97605052143015</v>
      </c>
      <c r="O55" s="84" cm="1">
        <f t="array" ref="O55">INDEX(_xlfn._xlws.FILTER(CapacityTable[], (CapacityTable[Model] = $B$37) * (CapacityTable[T ext] = $D55) * (CapacityTable[T water out] = $N$8) * (CapacityTable[Type] = $C$55),Tableau2[]),1,6)</f>
        <v>1.1295822867462992</v>
      </c>
      <c r="P55" s="85" cm="1">
        <f t="array" ref="P55">INDEX(_xlfn._xlws.FILTER(CapacityTable[], (CapacityTable[Model] = $B$37) * (CapacityTable[T ext] = $D55) * (CapacityTable[T water out] = $N$8) * (CapacityTable[Type] = $C$55),Tableau2[]),1,7)</f>
        <v>1.7493639415345801</v>
      </c>
      <c r="Q55" s="83" cm="1">
        <f t="array" ref="Q55">INDEX(_xlfn._xlws.FILTER(CapacityTable[], (CapacityTable[Model] = $B$37) * (CapacityTable[T ext] = $D55) * (CapacityTable[T water out] = $Q$8) * (CapacityTable[Type] = $C$55),Tableau2[]),1,5)</f>
        <v>1.93264925030569</v>
      </c>
      <c r="R55" s="84" cm="1">
        <f t="array" ref="R55">INDEX(_xlfn._xlws.FILTER(CapacityTable[], (CapacityTable[Model] = $B$37) * (CapacityTable[T ext] = $D55) * (CapacityTable[T water out] = $Q$8) * (CapacityTable[Type] = $C$55),Tableau2[]),1,6)</f>
        <v>1.2023241915019043</v>
      </c>
      <c r="S55" s="85" cm="1">
        <f t="array" ref="S55">INDEX(_xlfn._xlws.FILTER(CapacityTable[], (CapacityTable[Model] = $B$37) * (CapacityTable[T ext] = $D55) * (CapacityTable[T water out] = $Q$8) * (CapacityTable[Type] = $C$55),Tableau2[]),1,7)</f>
        <v>1.6074277336892699</v>
      </c>
      <c r="T55" s="83" cm="1">
        <f t="array" ref="T55">INDEX(_xlfn._xlws.FILTER(CapacityTable[], (CapacityTable[Model] = $B$37) * (CapacityTable[T ext] = $D55) * (CapacityTable[T water out] = $T$8) * (CapacityTable[Type] = $C$55),Tableau2[]),1,5)</f>
        <v>1.9073824258441701</v>
      </c>
      <c r="U55" s="84" cm="1">
        <f t="array" ref="U55">INDEX(_xlfn._xlws.FILTER(CapacityTable[], (CapacityTable[Model] = $B$37) * (CapacityTable[T ext] = $D55) * (CapacityTable[T water out] = $T$8) * (CapacityTable[Type] = $C$55),Tableau2[]),1,6)</f>
        <v>1.2760339408232151</v>
      </c>
      <c r="V55" s="85" cm="1">
        <f t="array" ref="V55">INDEX(_xlfn._xlws.FILTER(CapacityTable[], (CapacityTable[Model] = $B$37) * (CapacityTable[T ext] = $D55) * (CapacityTable[T water out] = $T$8) * (CapacityTable[Type] = $C$55),Tableau2[]),1,7)</f>
        <v>1.4947740532776499</v>
      </c>
      <c r="W55" s="83" cm="1">
        <f t="array" ref="W55">INDEX(_xlfn._xlws.FILTER(CapacityTable[], (CapacityTable[Model] = $B$37) * (CapacityTable[T ext] = $D55) * (CapacityTable[T water out] = $W$8) * (CapacityTable[Type] = $C$55),Tableau2[]),1,5)</f>
        <v>1.8991227106940001</v>
      </c>
      <c r="X55" s="84" cm="1">
        <f t="array" ref="X55">INDEX(_xlfn._xlws.FILTER(CapacityTable[], (CapacityTable[Model] = $B$37) * (CapacityTable[T ext] = $D55) * (CapacityTable[T water out] = $W$8) * (CapacityTable[Type] = $C$55),Tableau2[]),1,6)</f>
        <v>1.3507278990513507</v>
      </c>
      <c r="Y55" s="85" cm="1">
        <f t="array" ref="Y55">INDEX(_xlfn._xlws.FILTER(CapacityTable[], (CapacityTable[Model] = $B$37) * (CapacityTable[T ext] = $D55) * (CapacityTable[T water out] = $W$8) * (CapacityTable[Type] = $C$55),Tableau2[]),1,7)</f>
        <v>1.4059994703802301</v>
      </c>
      <c r="Z55" s="83" cm="1">
        <f t="array" ref="Z55">INDEX(_xlfn._xlws.FILTER(CapacityTable[], (CapacityTable[Model] = $B$37) * (CapacityTable[T ext] = $D55) * (CapacityTable[T water out] = $Z$8) * (CapacityTable[Type] = $C$55),Tableau2[]),1,5)</f>
        <v>1.9057884864125001</v>
      </c>
      <c r="AA55" s="84" cm="1">
        <f t="array" ref="AA55">INDEX(_xlfn._xlws.FILTER(CapacityTable[], (CapacityTable[Model] = $B$37) * (CapacityTable[T ext] = $D55) * (CapacityTable[T water out] = $Z$8) * (CapacityTable[Type] = $C$55),Tableau2[]),1,6)</f>
        <v>1.4263664294636937</v>
      </c>
      <c r="AB55" s="85" cm="1">
        <f t="array" ref="AB55">INDEX(_xlfn._xlws.FILTER(CapacityTable[], (CapacityTable[Model] = $B$37) * (CapacityTable[T ext] = $D55) * (CapacityTable[T water out] = $Z$8) * (CapacityTable[Type] = $C$55),Tableau2[]),1,7)</f>
        <v>1.33611423197128</v>
      </c>
      <c r="AC55" s="83" t="str" cm="1">
        <f t="array" ref="AC55">INDEX(_xlfn._xlws.FILTER(CapacityTable[], (CapacityTable[Model] = $B$37) * (CapacityTable[T ext] = $D55) * (CapacityTable[T water out] = $AC$8) * (CapacityTable[Type] = $C$55),Tableau2[]),1,5)</f>
        <v>N.A.</v>
      </c>
      <c r="AD55" s="84" t="str" cm="1">
        <f t="array" ref="AD55">INDEX(_xlfn._xlws.FILTER(CapacityTable[], (CapacityTable[Model] = $B$37) * (CapacityTable[T ext] = $D55) * (CapacityTable[T water out] = $AC$8) * (CapacityTable[Type] = $C$55),Tableau2[]),1,6)</f>
        <v>N.A.</v>
      </c>
      <c r="AE55" s="85" t="str" cm="1">
        <f t="array" ref="AE55">INDEX(_xlfn._xlws.FILTER(CapacityTable[], (CapacityTable[Model] = $B$37) * (CapacityTable[T ext] = $D55) * (CapacityTable[T water out] = $AC$8) * (CapacityTable[Type] = $C$55),Tableau2[]),1,7)</f>
        <v>N.A.</v>
      </c>
    </row>
    <row r="56" spans="2:32" x14ac:dyDescent="0.25">
      <c r="B56" s="277"/>
      <c r="C56" s="279"/>
      <c r="D56" s="37">
        <v>-15</v>
      </c>
      <c r="E56" s="117" cm="1">
        <f t="array" ref="E56">INDEX(_xlfn._xlws.FILTER(CapacityTable[], (CapacityTable[Model] = $B$37) * (CapacityTable[T ext] = $D56) * (CapacityTable[T water out] = $E$8) * (CapacityTable[Type] = $C$55),Tableau2[]),1,5)</f>
        <v>2.7636733164681901</v>
      </c>
      <c r="F56" s="104" cm="1">
        <f t="array" ref="F56">INDEX(_xlfn._xlws.FILTER(CapacityTable[], (CapacityTable[Model] = $B$37) * (CapacityTable[T ext] = $D56) * (CapacityTable[T water out] = $E$8) * (CapacityTable[Type] = $C$55),Tableau2[]),1,6)</f>
        <v>0.86275740815991731</v>
      </c>
      <c r="G56" s="99" cm="1">
        <f t="array" ref="G56">INDEX(_xlfn._xlws.FILTER(CapacityTable[], (CapacityTable[Model] = $B$37) * (CapacityTable[T ext] = $D56) * (CapacityTable[T water out] = $E$8) * (CapacityTable[Type] = $C$55),Tableau2[]),1,7)</f>
        <v>3.2033029103308799</v>
      </c>
      <c r="H56" s="93" cm="1">
        <f t="array" ref="H56">INDEX(_xlfn._xlws.FILTER(CapacityTable[], (CapacityTable[Model] = $B$37) * (CapacityTable[T ext] = $D56) * (CapacityTable[T water out] = $H$8) * (CapacityTable[Type] = $C$55),Tableau2[]),1,5)</f>
        <v>2.5731505414467803</v>
      </c>
      <c r="I56" s="104" cm="1">
        <f t="array" ref="I56">INDEX(_xlfn._xlws.FILTER(CapacityTable[], (CapacityTable[Model] = $B$37) * (CapacityTable[T ext] = $D56) * (CapacityTable[T water out] = $H$8) * (CapacityTable[Type] = $C$55),Tableau2[]),1,6)</f>
        <v>1.0200037930044443</v>
      </c>
      <c r="J56" s="99" cm="1">
        <f t="array" ref="J56">INDEX(_xlfn._xlws.FILTER(CapacityTable[], (CapacityTable[Model] = $B$37) * (CapacityTable[T ext] = $D56) * (CapacityTable[T water out] = $H$8) * (CapacityTable[Type] = $C$55),Tableau2[]),1,7)</f>
        <v>2.5226872283165802</v>
      </c>
      <c r="K56" s="93" cm="1">
        <f t="array" ref="K56">INDEX(_xlfn._xlws.FILTER(CapacityTable[], (CapacityTable[Model] = $B$37) * (CapacityTable[T ext] = $D56) * (CapacityTable[T water out] = $K$8) * (CapacityTable[Type] = $C$55),Tableau2[]),1,5)</f>
        <v>2.4968171490121698</v>
      </c>
      <c r="L56" s="104" cm="1">
        <f t="array" ref="L56">INDEX(_xlfn._xlws.FILTER(CapacityTable[], (CapacityTable[Model] = $B$37) * (CapacityTable[T ext] = $D56) * (CapacityTable[T water out] = $K$8) * (CapacityTable[Type] = $C$55),Tableau2[]),1,6)</f>
        <v>1.1023112823255505</v>
      </c>
      <c r="M56" s="99" cm="1">
        <f t="array" ref="M56">INDEX(_xlfn._xlws.FILTER(CapacityTable[], (CapacityTable[Model] = $B$37) * (CapacityTable[T ext] = $D56) * (CapacityTable[T water out] = $K$8) * (CapacityTable[Type] = $C$55),Tableau2[]),1,7)</f>
        <v>2.2650744749202101</v>
      </c>
      <c r="N56" s="93" cm="1">
        <f t="array" ref="N56">INDEX(_xlfn._xlws.FILTER(CapacityTable[], (CapacityTable[Model] = $B$37) * (CapacityTable[T ext] = $D56) * (CapacityTable[T water out] = $N$8) * (CapacityTable[Type] = $C$55),Tableau2[]),1,5)</f>
        <v>2.4353123848347802</v>
      </c>
      <c r="O56" s="104" cm="1">
        <f t="array" ref="O56">INDEX(_xlfn._xlws.FILTER(CapacityTable[], (CapacityTable[Model] = $B$37) * (CapacityTable[T ext] = $D56) * (CapacityTable[T water out] = $N$8) * (CapacityTable[Type] = $C$55),Tableau2[]),1,6)</f>
        <v>1.1871055016997307</v>
      </c>
      <c r="P56" s="99" cm="1">
        <f t="array" ref="P56">INDEX(_xlfn._xlws.FILTER(CapacityTable[], (CapacityTable[Model] = $B$37) * (CapacityTable[T ext] = $D56) * (CapacityTable[T water out] = $N$8) * (CapacityTable[Type] = $C$55),Tableau2[]),1,7)</f>
        <v>2.0514708939920099</v>
      </c>
      <c r="Q56" s="93" cm="1">
        <f t="array" ref="Q56">INDEX(_xlfn._xlws.FILTER(CapacityTable[], (CapacityTable[Model] = $B$37) * (CapacityTable[T ext] = $D56) * (CapacityTable[T water out] = $Q$8) * (CapacityTable[Type] = $C$55),Tableau2[]),1,5)</f>
        <v>2.38943439287188</v>
      </c>
      <c r="R56" s="104" cm="1">
        <f t="array" ref="R56">INDEX(_xlfn._xlws.FILTER(CapacityTable[], (CapacityTable[Model] = $B$37) * (CapacityTable[T ext] = $D56) * (CapacityTable[T water out] = $Q$8) * (CapacityTable[Type] = $C$55),Tableau2[]),1,6)</f>
        <v>1.2743919312600971</v>
      </c>
      <c r="S56" s="99" cm="1">
        <f t="array" ref="S56">INDEX(_xlfn._xlws.FILTER(CapacityTable[], (CapacityTable[Model] = $B$37) * (CapacityTable[T ext] = $D56) * (CapacityTable[T water out] = $Q$8) * (CapacityTable[Type] = $C$55),Tableau2[]),1,7)</f>
        <v>1.8749603903323899</v>
      </c>
      <c r="T56" s="93" cm="1">
        <f t="array" ref="T56">INDEX(_xlfn._xlws.FILTER(CapacityTable[], (CapacityTable[Model] = $B$37) * (CapacityTable[T ext] = $D56) * (CapacityTable[T water out] = $T$8) * (CapacityTable[Type] = $C$55),Tableau2[]),1,5)</f>
        <v>2.3592672519816702</v>
      </c>
      <c r="U56" s="104" cm="1">
        <f t="array" ref="U56">INDEX(_xlfn._xlws.FILTER(CapacityTable[], (CapacityTable[Model] = $B$37) * (CapacityTable[T ext] = $D56) * (CapacityTable[T water out] = $T$8) * (CapacityTable[Type] = $C$55),Tableau2[]),1,6)</f>
        <v>1.3642125658472908</v>
      </c>
      <c r="V56" s="99" cm="1">
        <f t="array" ref="V56">INDEX(_xlfn._xlws.FILTER(CapacityTable[], (CapacityTable[Model] = $B$37) * (CapacityTable[T ext] = $D56) * (CapacityTable[T water out] = $T$8) * (CapacityTable[Type] = $C$55),Tableau2[]),1,7)</f>
        <v>1.7293985637175</v>
      </c>
      <c r="W56" s="93" cm="1">
        <f t="array" ref="W56">INDEX(_xlfn._xlws.FILTER(CapacityTable[], (CapacityTable[Model] = $B$37) * (CapacityTable[T ext] = $D56) * (CapacityTable[T water out] = $W$8) * (CapacityTable[Type] = $C$55),Tableau2[]),1,5)</f>
        <v>2.3440196102478597</v>
      </c>
      <c r="X56" s="104" cm="1">
        <f t="array" ref="X56">INDEX(_xlfn._xlws.FILTER(CapacityTable[], (CapacityTable[Model] = $B$37) * (CapacityTable[T ext] = $D56) * (CapacityTable[T water out] = $W$8) * (CapacityTable[Type] = $C$55),Tableau2[]),1,6)</f>
        <v>1.4565606509069495</v>
      </c>
      <c r="Y56" s="99" cm="1">
        <f t="array" ref="Y56">INDEX(_xlfn._xlws.FILTER(CapacityTable[], (CapacityTable[Model] = $B$37) * (CapacityTable[T ext] = $D56) * (CapacityTable[T water out] = $W$8) * (CapacityTable[Type] = $C$55),Tableau2[]),1,7)</f>
        <v>1.60928390368662</v>
      </c>
      <c r="Z56" s="93" cm="1">
        <f t="array" ref="Z56">INDEX(_xlfn._xlws.FILTER(CapacityTable[], (CapacityTable[Model] = $B$37) * (CapacityTable[T ext] = $D56) * (CapacityTable[T water out] = $Z$8) * (CapacityTable[Type] = $C$55),Tableau2[]),1,5)</f>
        <v>2.3419837428639698</v>
      </c>
      <c r="AA56" s="104" cm="1">
        <f t="array" ref="AA56">INDEX(_xlfn._xlws.FILTER(CapacityTable[], (CapacityTable[Model] = $B$37) * (CapacityTable[T ext] = $D56) * (CapacityTable[T water out] = $Z$8) * (CapacityTable[Type] = $C$55),Tableau2[]),1,6)</f>
        <v>1.551235774480439</v>
      </c>
      <c r="AB56" s="99" cm="1">
        <f t="array" ref="AB56">INDEX(_xlfn._xlws.FILTER(CapacityTable[], (CapacityTable[Model] = $B$37) * (CapacityTable[T ext] = $D56) * (CapacityTable[T water out] = $Z$8) * (CapacityTable[Type] = $C$55),Tableau2[]),1,7)</f>
        <v>1.50975356640958</v>
      </c>
      <c r="AC56" s="93" t="str" cm="1">
        <f t="array" ref="AC56">INDEX(_xlfn._xlws.FILTER(CapacityTable[], (CapacityTable[Model] = $B$37) * (CapacityTable[T ext] = $D56) * (CapacityTable[T water out] = $AC$8) * (CapacityTable[Type] = $C$55),Tableau2[]),1,5)</f>
        <v>N.A.</v>
      </c>
      <c r="AD56" s="104" t="str" cm="1">
        <f t="array" ref="AD56">INDEX(_xlfn._xlws.FILTER(CapacityTable[], (CapacityTable[Model] = $B$37) * (CapacityTable[T ext] = $D56) * (CapacityTable[T water out] = $AC$8) * (CapacityTable[Type] = $C$55),Tableau2[]),1,6)</f>
        <v>N.A.</v>
      </c>
      <c r="AE56" s="99" t="str" cm="1">
        <f t="array" ref="AE56">INDEX(_xlfn._xlws.FILTER(CapacityTable[], (CapacityTable[Model] = $B$37) * (CapacityTable[T ext] = $D56) * (CapacityTable[T water out] = $AC$8) * (CapacityTable[Type] = $C$55),Tableau2[]),1,7)</f>
        <v>N.A.</v>
      </c>
    </row>
    <row r="57" spans="2:32" x14ac:dyDescent="0.25">
      <c r="B57" s="277"/>
      <c r="C57" s="279"/>
      <c r="D57" s="37">
        <v>-10</v>
      </c>
      <c r="E57" s="117" cm="1">
        <f t="array" ref="E57">INDEX(_xlfn._xlws.FILTER(CapacityTable[], (CapacityTable[Model] = $B$37) * (CapacityTable[T ext] = $D57) * (CapacityTable[T water out] = $E$8) * (CapacityTable[Type] = $C$55),Tableau2[]),1,5)</f>
        <v>2.5419714511505398</v>
      </c>
      <c r="F57" s="104" cm="1">
        <f t="array" ref="F57">INDEX(_xlfn._xlws.FILTER(CapacityTable[], (CapacityTable[Model] = $B$37) * (CapacityTable[T ext] = $D57) * (CapacityTable[T water out] = $E$8) * (CapacityTable[Type] = $C$55),Tableau2[]),1,6)</f>
        <v>0.68436375663759896</v>
      </c>
      <c r="G57" s="99" cm="1">
        <f t="array" ref="G57">INDEX(_xlfn._xlws.FILTER(CapacityTable[], (CapacityTable[Model] = $B$37) * (CapacityTable[T ext] = $D57) * (CapacityTable[T water out] = $E$8) * (CapacityTable[Type] = $C$55),Tableau2[]),1,7)</f>
        <v>3.71435720623152</v>
      </c>
      <c r="H57" s="93" cm="1">
        <f t="array" ref="H57">INDEX(_xlfn._xlws.FILTER(CapacityTable[], (CapacityTable[Model] = $B$37) * (CapacityTable[T ext] = $D57) * (CapacityTable[T water out] = $H$8) * (CapacityTable[Type] = $C$55),Tableau2[]),1,5)</f>
        <v>2.3837107145433802</v>
      </c>
      <c r="I57" s="104" cm="1">
        <f t="array" ref="I57">INDEX(_xlfn._xlws.FILTER(CapacityTable[], (CapacityTable[Model] = $B$37) * (CapacityTable[T ext] = $D57) * (CapacityTable[T water out] = $H$8) * (CapacityTable[Type] = $C$55),Tableau2[]),1,6)</f>
        <v>0.82966304525483836</v>
      </c>
      <c r="J57" s="99" cm="1">
        <f t="array" ref="J57">INDEX(_xlfn._xlws.FILTER(CapacityTable[], (CapacityTable[Model] = $B$37) * (CapacityTable[T ext] = $D57) * (CapacityTable[T water out] = $H$8) * (CapacityTable[Type] = $C$55),Tableau2[]),1,7)</f>
        <v>2.8731070139579402</v>
      </c>
      <c r="K57" s="93" cm="1">
        <f t="array" ref="K57">INDEX(_xlfn._xlws.FILTER(CapacityTable[], (CapacityTable[Model] = $B$37) * (CapacityTable[T ext] = $D57) * (CapacityTable[T water out] = $K$8) * (CapacityTable[Type] = $C$55),Tableau2[]),1,5)</f>
        <v>2.3220050919482702</v>
      </c>
      <c r="L57" s="104" cm="1">
        <f t="array" ref="L57">INDEX(_xlfn._xlws.FILTER(CapacityTable[], (CapacityTable[Model] = $B$37) * (CapacityTable[T ext] = $D57) * (CapacityTable[T water out] = $K$8) * (CapacityTable[Type] = $C$55),Tableau2[]),1,6)</f>
        <v>0.90632892499053597</v>
      </c>
      <c r="M57" s="99" cm="1">
        <f t="array" ref="M57">INDEX(_xlfn._xlws.FILTER(CapacityTable[], (CapacityTable[Model] = $B$37) * (CapacityTable[T ext] = $D57) * (CapacityTable[T water out] = $K$8) * (CapacityTable[Type] = $C$55),Tableau2[]),1,7)</f>
        <v>2.5619893925072699</v>
      </c>
      <c r="N57" s="93" cm="1">
        <f t="array" ref="N57">INDEX(_xlfn._xlws.FILTER(CapacityTable[], (CapacityTable[Model] = $B$37) * (CapacityTable[T ext] = $D57) * (CapacityTable[T water out] = $N$8) * (CapacityTable[Type] = $C$55),Tableau2[]),1,5)</f>
        <v>2.27298840144327</v>
      </c>
      <c r="O57" s="104" cm="1">
        <f t="array" ref="O57">INDEX(_xlfn._xlws.FILTER(CapacityTable[], (CapacityTable[Model] = $B$37) * (CapacityTable[T ext] = $D57) * (CapacityTable[T water out] = $N$8) * (CapacityTable[Type] = $C$55),Tableau2[]),1,6)</f>
        <v>0.98568407140306635</v>
      </c>
      <c r="P57" s="99" cm="1">
        <f t="array" ref="P57">INDEX(_xlfn._xlws.FILTER(CapacityTable[], (CapacityTable[Model] = $B$37) * (CapacityTable[T ext] = $D57) * (CapacityTable[T water out] = $N$8) * (CapacityTable[Type] = $C$55),Tableau2[]),1,7)</f>
        <v>2.30600094633547</v>
      </c>
      <c r="Q57" s="93" cm="1">
        <f t="array" ref="Q57">INDEX(_xlfn._xlws.FILTER(CapacityTable[], (CapacityTable[Model] = $B$37) * (CapacityTable[T ext] = $D57) * (CapacityTable[T water out] = $Q$8) * (CapacityTable[Type] = $C$55),Tableau2[]),1,5)</f>
        <v>2.2367985757883799</v>
      </c>
      <c r="R57" s="104" cm="1">
        <f t="array" ref="R57">INDEX(_xlfn._xlws.FILTER(CapacityTable[], (CapacityTable[Model] = $B$37) * (CapacityTable[T ext] = $D57) * (CapacityTable[T water out] = $Q$8) * (CapacityTable[Type] = $C$55),Tableau2[]),1,6)</f>
        <v>1.0677336190706077</v>
      </c>
      <c r="S57" s="99" cm="1">
        <f t="array" ref="S57">INDEX(_xlfn._xlws.FILTER(CapacityTable[], (CapacityTable[Model] = $B$37) * (CapacityTable[T ext] = $D57) * (CapacityTable[T water out] = $Q$8) * (CapacityTable[Type] = $C$55),Tableau2[]),1,7)</f>
        <v>2.0949032004212498</v>
      </c>
      <c r="T57" s="93" cm="1">
        <f t="array" ref="T57">INDEX(_xlfn._xlws.FILTER(CapacityTable[], (CapacityTable[Model] = $B$37) * (CapacityTable[T ext] = $D57) * (CapacityTable[T water out] = $T$8) * (CapacityTable[Type] = $C$55),Tableau2[]),1,5)</f>
        <v>2.21302531991843</v>
      </c>
      <c r="U57" s="104" cm="1">
        <f t="array" ref="U57">INDEX(_xlfn._xlws.FILTER(CapacityTable[], (CapacityTable[Model] = $B$37) * (CapacityTable[T ext] = $D57) * (CapacityTable[T water out] = $T$8) * (CapacityTable[Type] = $C$55),Tableau2[]),1,6)</f>
        <v>1.1524927711306516</v>
      </c>
      <c r="V57" s="99" cm="1">
        <f t="array" ref="V57">INDEX(_xlfn._xlws.FILTER(CapacityTable[], (CapacityTable[Model] = $B$37) * (CapacityTable[T ext] = $D57) * (CapacityTable[T water out] = $T$8) * (CapacityTable[Type] = $C$55),Tableau2[]),1,7)</f>
        <v>1.92020754954267</v>
      </c>
      <c r="W57" s="93" cm="1">
        <f t="array" ref="W57">INDEX(_xlfn._xlws.FILTER(CapacityTable[], (CapacityTable[Model] = $B$37) * (CapacityTable[T ext] = $D57) * (CapacityTable[T water out] = $W$8) * (CapacityTable[Type] = $C$55),Tableau2[]),1,5)</f>
        <v>2.2005841832635302</v>
      </c>
      <c r="X57" s="104" cm="1">
        <f t="array" ref="X57">INDEX(_xlfn._xlws.FILTER(CapacityTable[], (CapacityTable[Model] = $B$37) * (CapacityTable[T ext] = $D57) * (CapacityTable[T water out] = $W$8) * (CapacityTable[Type] = $C$55),Tableau2[]),1,6)</f>
        <v>1.2399679108685198</v>
      </c>
      <c r="Y57" s="99" cm="1">
        <f t="array" ref="Y57">INDEX(_xlfn._xlws.FILTER(CapacityTable[], (CapacityTable[Model] = $B$37) * (CapacityTable[T ext] = $D57) * (CapacityTable[T water out] = $W$8) * (CapacityTable[Type] = $C$55),Tableau2[]),1,7)</f>
        <v>1.7747105904717799</v>
      </c>
      <c r="Z57" s="93" cm="1">
        <f t="array" ref="Z57">INDEX(_xlfn._xlws.FILTER(CapacityTable[], (CapacityTable[Model] = $B$37) * (CapacityTable[T ext] = $D57) * (CapacityTable[T water out] = $Z$8) * (CapacityTable[Type] = $C$55),Tableau2[]),1,5)</f>
        <v>2.5145819296257002</v>
      </c>
      <c r="AA57" s="104" cm="1">
        <f t="array" ref="AA57">INDEX(_xlfn._xlws.FILTER(CapacityTable[], (CapacityTable[Model] = $B$37) * (CapacityTable[T ext] = $D57) * (CapacityTable[T water out] = $Z$8) * (CapacityTable[Type] = $C$55),Tableau2[]),1,6)</f>
        <v>1.5107878416289404</v>
      </c>
      <c r="AB57" s="99" cm="1">
        <f t="array" ref="AB57">INDEX(_xlfn._xlws.FILTER(CapacityTable[], (CapacityTable[Model] = $B$37) * (CapacityTable[T ext] = $D57) * (CapacityTable[T water out] = $Z$8) * (CapacityTable[Type] = $C$55),Tableau2[]),1,7)</f>
        <v>1.66441763716768</v>
      </c>
      <c r="AC57" s="93" cm="1">
        <f t="array" ref="AC57">INDEX(_xlfn._xlws.FILTER(CapacityTable[], (CapacityTable[Model] = $B$37) * (CapacityTable[T ext] = $D57) * (CapacityTable[T water out] = $AC$8) * (CapacityTable[Type] = $C$55),Tableau2[]),1,5)</f>
        <v>2.7732005316148003</v>
      </c>
      <c r="AD57" s="104" cm="1">
        <f t="array" ref="AD57">INDEX(_xlfn._xlws.FILTER(CapacityTable[], (CapacityTable[Model] = $B$37) * (CapacityTable[T ext] = $D57) * (CapacityTable[T water out] = $AC$8) * (CapacityTable[Type] = $C$55),Tableau2[]),1,6)</f>
        <v>1.7756107835227417</v>
      </c>
      <c r="AE57" s="99" cm="1">
        <f t="array" ref="AE57">INDEX(_xlfn._xlws.FILTER(CapacityTable[], (CapacityTable[Model] = $B$37) * (CapacityTable[T ext] = $D57) * (CapacityTable[T water out] = $AC$8) * (CapacityTable[Type] = $C$55),Tableau2[]),1,7)</f>
        <v>1.56182906600335</v>
      </c>
    </row>
    <row r="58" spans="2:32" x14ac:dyDescent="0.25">
      <c r="B58" s="277"/>
      <c r="C58" s="279"/>
      <c r="D58" s="37">
        <v>-7</v>
      </c>
      <c r="E58" s="117" cm="1">
        <f t="array" ref="E58">INDEX(_xlfn._xlws.FILTER(CapacityTable[], (CapacityTable[Model] = $B$37) * (CapacityTable[T ext] = $D58) * (CapacityTable[T water out] = $E$8) * (CapacityTable[Type] = $C$55),Tableau2[]),1,5)</f>
        <v>2.4523856038278198</v>
      </c>
      <c r="F58" s="104" cm="1">
        <f t="array" ref="F58">INDEX(_xlfn._xlws.FILTER(CapacityTable[], (CapacityTable[Model] = $B$37) * (CapacityTable[T ext] = $D58) * (CapacityTable[T water out] = $E$8) * (CapacityTable[Type] = $C$55),Tableau2[]),1,6)</f>
        <v>0.61073238185198575</v>
      </c>
      <c r="G58" s="99" cm="1">
        <f t="array" ref="G58">INDEX(_xlfn._xlws.FILTER(CapacityTable[], (CapacityTable[Model] = $B$37) * (CapacityTable[T ext] = $D58) * (CapacityTable[T water out] = $E$8) * (CapacityTable[Type] = $C$55),Tableau2[]),1,7)</f>
        <v>4.0154831751203401</v>
      </c>
      <c r="H58" s="93" cm="1">
        <f t="array" ref="H58">INDEX(_xlfn._xlws.FILTER(CapacityTable[], (CapacityTable[Model] = $B$37) * (CapacityTable[T ext] = $D58) * (CapacityTable[T water out] = $H$8) * (CapacityTable[Type] = $C$55),Tableau2[]),1,5)</f>
        <v>2.3101444934985897</v>
      </c>
      <c r="I58" s="104" cm="1">
        <f t="array" ref="I58">INDEX(_xlfn._xlws.FILTER(CapacityTable[], (CapacityTable[Model] = $B$37) * (CapacityTable[T ext] = $D58) * (CapacityTable[T water out] = $H$8) * (CapacityTable[Type] = $C$55),Tableau2[]),1,6)</f>
        <v>0.75095683290143489</v>
      </c>
      <c r="J58" s="99" cm="1">
        <f t="array" ref="J58">INDEX(_xlfn._xlws.FILTER(CapacityTable[], (CapacityTable[Model] = $B$37) * (CapacityTable[T ext] = $D58) * (CapacityTable[T water out] = $H$8) * (CapacityTable[Type] = $C$55),Tableau2[]),1,7)</f>
        <v>3.0762680253843602</v>
      </c>
      <c r="K58" s="93" cm="1">
        <f t="array" ref="K58">INDEX(_xlfn._xlws.FILTER(CapacityTable[], (CapacityTable[Model] = $B$37) * (CapacityTable[T ext] = $D58) * (CapacityTable[T water out] = $K$8) * (CapacityTable[Type] = $C$55),Tableau2[]),1,5)</f>
        <v>2.2554322719187199</v>
      </c>
      <c r="L58" s="104" cm="1">
        <f t="array" ref="L58">INDEX(_xlfn._xlws.FILTER(CapacityTable[], (CapacityTable[Model] = $B$37) * (CapacityTable[T ext] = $D58) * (CapacityTable[T water out] = $K$8) * (CapacityTable[Type] = $C$55),Tableau2[]),1,6)</f>
        <v>0.82567289898066976</v>
      </c>
      <c r="M58" s="99" cm="1">
        <f t="array" ref="M58">INDEX(_xlfn._xlws.FILTER(CapacityTable[], (CapacityTable[Model] = $B$37) * (CapacityTable[T ext] = $D58) * (CapacityTable[T water out] = $K$8) * (CapacityTable[Type] = $C$55),Tableau2[]),1,7)</f>
        <v>2.7316292864924501</v>
      </c>
      <c r="N58" s="93" cm="1">
        <f t="array" ref="N58">INDEX(_xlfn._xlws.FILTER(CapacityTable[], (CapacityTable[Model] = $B$37) * (CapacityTable[T ext] = $D58) * (CapacityTable[T water out] = $N$8) * (CapacityTable[Type] = $C$55),Tableau2[]),1,5)</f>
        <v>2.21232767485533</v>
      </c>
      <c r="O58" s="104" cm="1">
        <f t="array" ref="O58">INDEX(_xlfn._xlws.FILTER(CapacityTable[], (CapacityTable[Model] = $B$37) * (CapacityTable[T ext] = $D58) * (CapacityTable[T water out] = $N$8) * (CapacityTable[Type] = $C$55),Tableau2[]),1,6)</f>
        <v>0.90347424503555418</v>
      </c>
      <c r="P58" s="99" cm="1">
        <f t="array" ref="P58">INDEX(_xlfn._xlws.FILTER(CapacityTable[], (CapacityTable[Model] = $B$37) * (CapacityTable[T ext] = $D58) * (CapacityTable[T water out] = $N$8) * (CapacityTable[Type] = $C$55),Tableau2[]),1,7)</f>
        <v>2.4486892537465401</v>
      </c>
      <c r="Q58" s="93" cm="1">
        <f t="array" ref="Q58">INDEX(_xlfn._xlws.FILTER(CapacityTable[], (CapacityTable[Model] = $B$37) * (CapacityTable[T ext] = $D58) * (CapacityTable[T water out] = $Q$8) * (CapacityTable[Type] = $C$55),Tableau2[]),1,5)</f>
        <v>2.1807783062286901</v>
      </c>
      <c r="R58" s="104" cm="1">
        <f t="array" ref="R58">INDEX(_xlfn._xlws.FILTER(CapacityTable[], (CapacityTable[Model] = $B$37) * (CapacityTable[T ext] = $D58) * (CapacityTable[T water out] = $Q$8) * (CapacityTable[Type] = $C$55),Tableau2[]),1,6)</f>
        <v>0.98436376357393718</v>
      </c>
      <c r="S58" s="99" cm="1">
        <f t="array" ref="S58">INDEX(_xlfn._xlws.FILTER(CapacityTable[], (CapacityTable[Model] = $B$37) * (CapacityTable[T ext] = $D58) * (CapacityTable[T water out] = $Q$8) * (CapacityTable[Type] = $C$55),Tableau2[]),1,7)</f>
        <v>2.2154191234253902</v>
      </c>
      <c r="T58" s="93" cm="1">
        <f t="array" ref="T58">INDEX(_xlfn._xlws.FILTER(CapacityTable[], (CapacityTable[Model] = $B$37) * (CapacityTable[T ext] = $D58) * (CapacityTable[T water out] = $T$8) * (CapacityTable[Type] = $C$55),Tableau2[]),1,5)</f>
        <v>2.1602519659060397</v>
      </c>
      <c r="U58" s="104" cm="1">
        <f t="array" ref="U58">INDEX(_xlfn._xlws.FILTER(CapacityTable[], (CapacityTable[Model] = $B$37) * (CapacityTable[T ext] = $D58) * (CapacityTable[T water out] = $T$8) * (CapacityTable[Type] = $C$55),Tableau2[]),1,6)</f>
        <v>1.0683527534256128</v>
      </c>
      <c r="V58" s="99" cm="1">
        <f t="array" ref="V58">INDEX(_xlfn._xlws.FILTER(CapacityTable[], (CapacityTable[Model] = $B$37) * (CapacityTable[T ext] = $D58) * (CapacityTable[T water out] = $T$8) * (CapacityTable[Type] = $C$55),Tableau2[]),1,7)</f>
        <v>2.0220399666489501</v>
      </c>
      <c r="W58" s="93" cm="1">
        <f t="array" ref="W58">INDEX(_xlfn._xlws.FILTER(CapacityTable[], (CapacityTable[Model] = $B$37) * (CapacityTable[T ext] = $D58) * (CapacityTable[T water out] = $W$8) * (CapacityTable[Type] = $C$55),Tableau2[]),1,5)</f>
        <v>2.14959426517248</v>
      </c>
      <c r="X58" s="104" cm="1">
        <f t="array" ref="X58">INDEX(_xlfn._xlws.FILTER(CapacityTable[], (CapacityTable[Model] = $B$37) * (CapacityTable[T ext] = $D58) * (CapacityTable[T water out] = $W$8) * (CapacityTable[Type] = $C$55),Tableau2[]),1,6)</f>
        <v>1.1554330330411944</v>
      </c>
      <c r="Y58" s="99" cm="1">
        <f t="array" ref="Y58">INDEX(_xlfn._xlws.FILTER(CapacityTable[], (CapacityTable[Model] = $B$37) * (CapacityTable[T ext] = $D58) * (CapacityTable[T water out] = $W$8) * (CapacityTable[Type] = $C$55),Tableau2[]),1,7)</f>
        <v>1.86042306538058</v>
      </c>
      <c r="Z58" s="93" cm="1">
        <f t="array" ref="Z58">INDEX(_xlfn._xlws.FILTER(CapacityTable[], (CapacityTable[Model] = $B$37) * (CapacityTable[T ext] = $D58) * (CapacityTable[T water out] = $Z$8) * (CapacityTable[Type] = $C$55),Tableau2[]),1,5)</f>
        <v>2.7558487436850001</v>
      </c>
      <c r="AA58" s="104" cm="1">
        <f t="array" ref="AA58">INDEX(_xlfn._xlws.FILTER(CapacityTable[], (CapacityTable[Model] = $B$37) * (CapacityTable[T ext] = $D58) * (CapacityTable[T water out] = $Z$8) * (CapacityTable[Type] = $C$55),Tableau2[]),1,6)</f>
        <v>1.5666943076566939</v>
      </c>
      <c r="AB58" s="99" cm="1">
        <f t="array" ref="AB58">INDEX(_xlfn._xlws.FILTER(CapacityTable[], (CapacityTable[Model] = $B$37) * (CapacityTable[T ext] = $D58) * (CapacityTable[T water out] = $Z$8) * (CapacityTable[Type] = $C$55),Tableau2[]),1,7)</f>
        <v>1.7590213548467699</v>
      </c>
      <c r="AC58" s="93" cm="1">
        <f t="array" ref="AC58">INDEX(_xlfn._xlws.FILTER(CapacityTable[], (CapacityTable[Model] = $B$37) * (CapacityTable[T ext] = $D58) * (CapacityTable[T water out] = $AC$8) * (CapacityTable[Type] = $C$55),Tableau2[]),1,5)</f>
        <v>3.0300668737165903</v>
      </c>
      <c r="AD58" s="104" cm="1">
        <f t="array" ref="AD58">INDEX(_xlfn._xlws.FILTER(CapacityTable[], (CapacityTable[Model] = $B$37) * (CapacityTable[T ext] = $D58) * (CapacityTable[T water out] = $AC$8) * (CapacityTable[Type] = $C$55),Tableau2[]),1,6)</f>
        <v>1.8434706167641091</v>
      </c>
      <c r="AE58" s="99" cm="1">
        <f t="array" ref="AE58">INDEX(_xlfn._xlws.FILTER(CapacityTable[], (CapacityTable[Model] = $B$37) * (CapacityTable[T ext] = $D58) * (CapacityTable[T water out] = $AC$8) * (CapacityTable[Type] = $C$55),Tableau2[]),1,7)</f>
        <v>1.6436751669171401</v>
      </c>
    </row>
    <row r="59" spans="2:32" x14ac:dyDescent="0.25">
      <c r="B59" s="277"/>
      <c r="C59" s="279"/>
      <c r="D59" s="37">
        <v>2</v>
      </c>
      <c r="E59" s="117" cm="1">
        <f t="array" ref="E59">INDEX(_xlfn._xlws.FILTER(CapacityTable[], (CapacityTable[Model] = $B$37) * (CapacityTable[T ext] = $D59) * (CapacityTable[T water out] = $E$8) * (CapacityTable[Type] = $C$55),Tableau2[]),1,5)</f>
        <v>2.7134460201759198</v>
      </c>
      <c r="F59" s="104" cm="1">
        <f t="array" ref="F59">INDEX(_xlfn._xlws.FILTER(CapacityTable[], (CapacityTable[Model] = $B$37) * (CapacityTable[T ext] = $D59) * (CapacityTable[T water out] = $E$8) * (CapacityTable[Type] = $C$55),Tableau2[]),1,6)</f>
        <v>0.54378403537455844</v>
      </c>
      <c r="G59" s="99" cm="1">
        <f t="array" ref="G59">INDEX(_xlfn._xlws.FILTER(CapacityTable[], (CapacityTable[Model] = $B$37) * (CapacityTable[T ext] = $D59) * (CapacityTable[T water out] = $E$8) * (CapacityTable[Type] = $C$55),Tableau2[]),1,7)</f>
        <v>4.9899332155032798</v>
      </c>
      <c r="H59" s="93" cm="1">
        <f t="array" ref="H59">INDEX(_xlfn._xlws.FILTER(CapacityTable[], (CapacityTable[Model] = $B$37) * (CapacityTable[T ext] = $D59) * (CapacityTable[T water out] = $H$8) * (CapacityTable[Type] = $C$55),Tableau2[]),1,5)</f>
        <v>2.5845297636747699</v>
      </c>
      <c r="I59" s="104" cm="1">
        <f t="array" ref="I59">INDEX(_xlfn._xlws.FILTER(CapacityTable[], (CapacityTable[Model] = $B$37) * (CapacityTable[T ext] = $D59) * (CapacityTable[T water out] = $H$8) * (CapacityTable[Type] = $C$55),Tableau2[]),1,6)</f>
        <v>0.68200263450580811</v>
      </c>
      <c r="J59" s="99" cm="1">
        <f t="array" ref="J59">INDEX(_xlfn._xlws.FILTER(CapacityTable[], (CapacityTable[Model] = $B$37) * (CapacityTable[T ext] = $D59) * (CapacityTable[T water out] = $H$8) * (CapacityTable[Type] = $C$55),Tableau2[]),1,7)</f>
        <v>3.78961844560552</v>
      </c>
      <c r="K59" s="93" cm="1">
        <f t="array" ref="K59">INDEX(_xlfn._xlws.FILTER(CapacityTable[], (CapacityTable[Model] = $B$37) * (CapacityTable[T ext] = $D59) * (CapacityTable[T water out] = $K$8) * (CapacityTable[Type] = $C$55),Tableau2[]),1,5)</f>
        <v>2.5311712777386099</v>
      </c>
      <c r="L59" s="104" cm="1">
        <f t="array" ref="L59">INDEX(_xlfn._xlws.FILTER(CapacityTable[], (CapacityTable[Model] = $B$37) * (CapacityTable[T ext] = $D59) * (CapacityTable[T water out] = $K$8) * (CapacityTable[Type] = $C$55),Tableau2[]),1,6)</f>
        <v>0.75924536627346151</v>
      </c>
      <c r="M59" s="99" cm="1">
        <f t="array" ref="M59">INDEX(_xlfn._xlws.FILTER(CapacityTable[], (CapacityTable[Model] = $B$37) * (CapacityTable[T ext] = $D59) * (CapacityTable[T water out] = $K$8) * (CapacityTable[Type] = $C$55),Tableau2[]),1,7)</f>
        <v>3.3337987825492301</v>
      </c>
      <c r="N59" s="93" cm="1">
        <f t="array" ref="N59">INDEX(_xlfn._xlws.FILTER(CapacityTable[], (CapacityTable[Model] = $B$37) * (CapacityTable[T ext] = $D59) * (CapacityTable[T water out] = $N$8) * (CapacityTable[Type] = $C$55),Tableau2[]),1,5)</f>
        <v>2.4861670442966401</v>
      </c>
      <c r="O59" s="104" cm="1">
        <f t="array" ref="O59">INDEX(_xlfn._xlws.FILTER(CapacityTable[], (CapacityTable[Model] = $B$37) * (CapacityTable[T ext] = $D59) * (CapacityTable[T water out] = $N$8) * (CapacityTable[Type] = $C$55),Tableau2[]),1,6)</f>
        <v>0.84190814525755442</v>
      </c>
      <c r="P59" s="99" cm="1">
        <f t="array" ref="P59">INDEX(_xlfn._xlws.FILTER(CapacityTable[], (CapacityTable[Model] = $B$37) * (CapacityTable[T ext] = $D59) * (CapacityTable[T water out] = $N$8) * (CapacityTable[Type] = $C$55),Tableau2[]),1,7)</f>
        <v>2.9530145993968002</v>
      </c>
      <c r="Q59" s="93" cm="1">
        <f t="array" ref="Q59">INDEX(_xlfn._xlws.FILTER(CapacityTable[], (CapacityTable[Model] = $B$37) * (CapacityTable[T ext] = $D59) * (CapacityTable[T water out] = $Q$8) * (CapacityTable[Type] = $C$55),Tableau2[]),1,5)</f>
        <v>2.4497457127230202</v>
      </c>
      <c r="R59" s="104" cm="1">
        <f t="array" ref="R59">INDEX(_xlfn._xlws.FILTER(CapacityTable[], (CapacityTable[Model] = $B$37) * (CapacityTable[T ext] = $D59) * (CapacityTable[T water out] = $Q$8) * (CapacityTable[Type] = $C$55),Tableau2[]),1,6)</f>
        <v>0.92998516221880145</v>
      </c>
      <c r="S59" s="99" cm="1">
        <f t="array" ref="S59">INDEX(_xlfn._xlws.FILTER(CapacityTable[], (CapacityTable[Model] = $B$37) * (CapacityTable[T ext] = $D59) * (CapacityTable[T water out] = $Q$8) * (CapacityTable[Type] = $C$55),Tableau2[]),1,7)</f>
        <v>2.6341772022236398</v>
      </c>
      <c r="T59" s="93" cm="1">
        <f t="array" ref="T59">INDEX(_xlfn._xlws.FILTER(CapacityTable[], (CapacityTable[Model] = $B$37) * (CapacityTable[T ext] = $D59) * (CapacityTable[T water out] = $T$8) * (CapacityTable[Type] = $C$55),Tableau2[]),1,5)</f>
        <v>2.4217353055050097</v>
      </c>
      <c r="U59" s="104" cm="1">
        <f t="array" ref="U59">INDEX(_xlfn._xlws.FILTER(CapacityTable[], (CapacityTable[Model] = $B$37) * (CapacityTable[T ext] = $D59) * (CapacityTable[T water out] = $T$8) * (CapacityTable[Type] = $C$55),Tableau2[]),1,6)</f>
        <v>1.023450804742805</v>
      </c>
      <c r="V59" s="99" cm="1">
        <f t="array" ref="V59">INDEX(_xlfn._xlws.FILTER(CapacityTable[], (CapacityTable[Model] = $B$37) * (CapacityTable[T ext] = $D59) * (CapacityTable[T water out] = $T$8) * (CapacityTable[Type] = $C$55),Tableau2[]),1,7)</f>
        <v>2.3662449570437301</v>
      </c>
      <c r="W59" s="93" cm="1">
        <f t="array" ref="W59">INDEX(_xlfn._xlws.FILTER(CapacityTable[], (CapacityTable[Model] = $B$37) * (CapacityTable[T ext] = $D59) * (CapacityTable[T water out] = $W$8) * (CapacityTable[Type] = $C$55),Tableau2[]),1,5)</f>
        <v>2.75417873153016</v>
      </c>
      <c r="X59" s="104" cm="1">
        <f t="array" ref="X59">INDEX(_xlfn._xlws.FILTER(CapacityTable[], (CapacityTable[Model] = $B$37) * (CapacityTable[T ext] = $D59) * (CapacityTable[T water out] = $W$8) * (CapacityTable[Type] = $C$55),Tableau2[]),1,6)</f>
        <v>1.2569462412383401</v>
      </c>
      <c r="Y59" s="99" cm="1">
        <f t="array" ref="Y59">INDEX(_xlfn._xlws.FILTER(CapacityTable[], (CapacityTable[Model] = $B$37) * (CapacityTable[T ext] = $D59) * (CapacityTable[T water out] = $W$8) * (CapacityTable[Type] = $C$55),Tableau2[]),1,7)</f>
        <v>2.1911666873014002</v>
      </c>
      <c r="Z59" s="93" cm="1">
        <f t="array" ref="Z59">INDEX(_xlfn._xlws.FILTER(CapacityTable[], (CapacityTable[Model] = $B$37) * (CapacityTable[T ext] = $D59) * (CapacityTable[T water out] = $Z$8) * (CapacityTable[Type] = $C$55),Tableau2[]),1,5)</f>
        <v>3.8938808857258702</v>
      </c>
      <c r="AA59" s="104" cm="1">
        <f t="array" ref="AA59">INDEX(_xlfn._xlws.FILTER(CapacityTable[], (CapacityTable[Model] = $B$37) * (CapacityTable[T ext] = $D59) * (CapacityTable[T water out] = $Z$8) * (CapacityTable[Type] = $C$55),Tableau2[]),1,6)</f>
        <v>1.8568843495699587</v>
      </c>
      <c r="AB59" s="99" cm="1">
        <f t="array" ref="AB59">INDEX(_xlfn._xlws.FILTER(CapacityTable[], (CapacityTable[Model] = $B$37) * (CapacityTable[T ext] = $D59) * (CapacityTable[T water out] = $Z$8) * (CapacityTable[Type] = $C$55),Tableau2[]),1,7)</f>
        <v>2.0969969867146898</v>
      </c>
      <c r="AC59" s="93" cm="1">
        <f t="array" ref="AC59">INDEX(_xlfn._xlws.FILTER(CapacityTable[], (CapacityTable[Model] = $B$37) * (CapacityTable[T ext] = $D59) * (CapacityTable[T water out] = $AC$8) * (CapacityTable[Type] = $C$55),Tableau2[]),1,5)</f>
        <v>3.8418063346109501</v>
      </c>
      <c r="AD59" s="104" cm="1">
        <f t="array" ref="AD59">INDEX(_xlfn._xlws.FILTER(CapacityTable[], (CapacityTable[Model] = $B$37) * (CapacityTable[T ext] = $D59) * (CapacityTable[T water out] = $AC$8) * (CapacityTable[Type] = $C$55),Tableau2[]),1,6)</f>
        <v>2.0103117410912383</v>
      </c>
      <c r="AE59" s="99" cm="1">
        <f t="array" ref="AE59">INDEX(_xlfn._xlws.FILTER(CapacityTable[], (CapacityTable[Model] = $B$37) * (CapacityTable[T ext] = $D59) * (CapacityTable[T water out] = $AC$8) * (CapacityTable[Type] = $C$55),Tableau2[]),1,7)</f>
        <v>1.9110500406894799</v>
      </c>
    </row>
    <row r="60" spans="2:32" x14ac:dyDescent="0.25">
      <c r="B60" s="277"/>
      <c r="C60" s="280"/>
      <c r="D60" s="38">
        <v>7</v>
      </c>
      <c r="E60" s="115" cm="1">
        <f t="array" ref="E60">INDEX(_xlfn._xlws.FILTER(CapacityTable[], (CapacityTable[Model] = $B$37) * (CapacityTable[T ext] = $D60) * (CapacityTable[T water out] = $E$8) * (CapacityTable[Type] = $C$55),Tableau2[]),1,5)</f>
        <v>2.86495766626805</v>
      </c>
      <c r="F60" s="77" cm="1">
        <f t="array" ref="F60">INDEX(_xlfn._xlws.FILTER(CapacityTable[], (CapacityTable[Model] = $B$37) * (CapacityTable[T ext] = $D60) * (CapacityTable[T water out] = $E$8) * (CapacityTable[Type] = $C$55),Tableau2[]),1,6)</f>
        <v>0.46816317435353233</v>
      </c>
      <c r="G60" s="78" cm="1">
        <f t="array" ref="G60">INDEX(_xlfn._xlws.FILTER(CapacityTable[], (CapacityTable[Model] = $B$37) * (CapacityTable[T ext] = $D60) * (CapacityTable[T water out] = $E$8) * (CapacityTable[Type] = $C$55),Tableau2[]),1,7)</f>
        <v>6.1195707462983497</v>
      </c>
      <c r="H60" s="75" cm="1">
        <f t="array" ref="H60">INDEX(_xlfn._xlws.FILTER(CapacityTable[], (CapacityTable[Model] = $B$37) * (CapacityTable[T ext] = $D60) * (CapacityTable[T water out] = $H$8) * (CapacityTable[Type] = $C$55),Tableau2[]),1,5)</f>
        <v>2.7318330429374802</v>
      </c>
      <c r="I60" s="77" cm="1">
        <f t="array" ref="I60">INDEX(_xlfn._xlws.FILTER(CapacityTable[], (CapacityTable[Model] = $B$37) * (CapacityTable[T ext] = $D60) * (CapacityTable[T water out] = $H$8) * (CapacityTable[Type] = $C$55),Tableau2[]),1,6)</f>
        <v>0.59636713630941129</v>
      </c>
      <c r="J60" s="78" cm="1">
        <f t="array" ref="J60">INDEX(_xlfn._xlws.FILTER(CapacityTable[], (CapacityTable[Model] = $B$37) * (CapacityTable[T ext] = $D60) * (CapacityTable[T water out] = $H$8) * (CapacityTable[Type] = $C$55),Tableau2[]),1,7)</f>
        <v>4.58079071868932</v>
      </c>
      <c r="K60" s="75" cm="1">
        <f t="array" ref="K60">INDEX(_xlfn._xlws.FILTER(CapacityTable[], (CapacityTable[Model] = $B$37) * (CapacityTable[T ext] = $D60) * (CapacityTable[T water out] = $K$8) * (CapacityTable[Type] = $C$55),Tableau2[]),1,5)</f>
        <v>2.67206872958951</v>
      </c>
      <c r="L60" s="77" cm="1">
        <f t="array" ref="L60">INDEX(_xlfn._xlws.FILTER(CapacityTable[], (CapacityTable[Model] = $B$37) * (CapacityTable[T ext] = $D60) * (CapacityTable[T water out] = $K$8) * (CapacityTable[Type] = $C$55),Tableau2[]),1,6)</f>
        <v>0.67025800185590989</v>
      </c>
      <c r="M60" s="78" cm="1">
        <f t="array" ref="M60">INDEX(_xlfn._xlws.FILTER(CapacityTable[], (CapacityTable[Model] = $B$37) * (CapacityTable[T ext] = $D60) * (CapacityTable[T water out] = $K$8) * (CapacityTable[Type] = $C$55),Tableau2[]),1,7)</f>
        <v>3.98662712297457</v>
      </c>
      <c r="N60" s="75" cm="1">
        <f t="array" ref="N60">INDEX(_xlfn._xlws.FILTER(CapacityTable[], (CapacityTable[Model] = $B$37) * (CapacityTable[T ext] = $D60) * (CapacityTable[T water out] = $N$8) * (CapacityTable[Type] = $C$55),Tableau2[]),1,5)</f>
        <v>2.6182188534274502</v>
      </c>
      <c r="O60" s="77" cm="1">
        <f t="array" ref="O60">INDEX(_xlfn._xlws.FILTER(CapacityTable[], (CapacityTable[Model] = $B$37) * (CapacityTable[T ext] = $D60) * (CapacityTable[T water out] = $N$8) * (CapacityTable[Type] = $C$55),Tableau2[]),1,6)</f>
        <v>0.75064959809443332</v>
      </c>
      <c r="P60" s="78" cm="1">
        <f t="array" ref="P60">INDEX(_xlfn._xlws.FILTER(CapacityTable[], (CapacityTable[Model] = $B$37) * (CapacityTable[T ext] = $D60) * (CapacityTable[T water out] = $N$8) * (CapacityTable[Type] = $C$55),Tableau2[]),1,7)</f>
        <v>3.4879374611988698</v>
      </c>
      <c r="Q60" s="75" cm="1">
        <f t="array" ref="Q60">INDEX(_xlfn._xlws.FILTER(CapacityTable[], (CapacityTable[Model] = $B$37) * (CapacityTable[T ext] = $D60) * (CapacityTable[T water out] = $Q$8) * (CapacityTable[Type] = $C$55),Tableau2[]),1,5)</f>
        <v>2.5708854976059103</v>
      </c>
      <c r="R60" s="77" cm="1">
        <f t="array" ref="R60">INDEX(_xlfn._xlws.FILTER(CapacityTable[], (CapacityTable[Model] = $B$37) * (CapacityTable[T ext] = $D60) * (CapacityTable[T water out] = $Q$8) * (CapacityTable[Type] = $C$55),Tableau2[]),1,6)</f>
        <v>0.83752522587120393</v>
      </c>
      <c r="S60" s="78" cm="1">
        <f t="array" ref="S60">INDEX(_xlfn._xlws.FILTER(CapacityTable[], (CapacityTable[Model] = $B$37) * (CapacityTable[T ext] = $D60) * (CapacityTable[T water out] = $Q$8) * (CapacityTable[Type] = $C$55),Tableau2[]),1,7)</f>
        <v>3.0696215686299402</v>
      </c>
      <c r="T60" s="75" cm="1">
        <f t="array" ref="T60">INDEX(_xlfn._xlws.FILTER(CapacityTable[], (CapacityTable[Model] = $B$37) * (CapacityTable[T ext] = $D60) * (CapacityTable[T water out] = $T$8) * (CapacityTable[Type] = $C$55),Tableau2[]),1,5)</f>
        <v>2.7595575825058298</v>
      </c>
      <c r="U60" s="77" cm="1">
        <f t="array" ref="U60">INDEX(_xlfn._xlws.FILTER(CapacityTable[], (CapacityTable[Model] = $B$37) * (CapacityTable[T ext] = $D60) * (CapacityTable[T water out] = $T$8) * (CapacityTable[Type] = $C$55),Tableau2[]),1,6)</f>
        <v>1.0058662364566855</v>
      </c>
      <c r="V60" s="78" cm="1">
        <f t="array" ref="V60">INDEX(_xlfn._xlws.FILTER(CapacityTable[], (CapacityTable[Model] = $B$37) * (CapacityTable[T ext] = $D60) * (CapacityTable[T water out] = $T$8) * (CapacityTable[Type] = $C$55),Tableau2[]),1,7)</f>
        <v>2.74346377528963</v>
      </c>
      <c r="W60" s="75" cm="1">
        <f t="array" ref="W60">INDEX(_xlfn._xlws.FILTER(CapacityTable[], (CapacityTable[Model] = $B$37) * (CapacityTable[T ext] = $D60) * (CapacityTable[T water out] = $W$8) * (CapacityTable[Type] = $C$55),Tableau2[]),1,5)</f>
        <v>3.1293102644472501</v>
      </c>
      <c r="X60" s="77" cm="1">
        <f t="array" ref="X60">INDEX(_xlfn._xlws.FILTER(CapacityTable[], (CapacityTable[Model] = $B$37) * (CapacityTable[T ext] = $D60) * (CapacityTable[T water out] = $W$8) * (CapacityTable[Type] = $C$55),Tableau2[]),1,6)</f>
        <v>1.2523310988035357</v>
      </c>
      <c r="Y60" s="78" cm="1">
        <f t="array" ref="Y60">INDEX(_xlfn._xlws.FILTER(CapacityTable[], (CapacityTable[Model] = $B$37) * (CapacityTable[T ext] = $D60) * (CapacityTable[T water out] = $W$8) * (CapacityTable[Type] = $C$55),Tableau2[]),1,7)</f>
        <v>2.4987882736737599</v>
      </c>
      <c r="Z60" s="75" cm="1">
        <f t="array" ref="Z60">INDEX(_xlfn._xlws.FILTER(CapacityTable[], (CapacityTable[Model] = $B$37) * (CapacityTable[T ext] = $D60) * (CapacityTable[T water out] = $Z$8) * (CapacityTable[Type] = $C$55),Tableau2[]),1,5)</f>
        <v>4.4180734259022998</v>
      </c>
      <c r="AA60" s="77" cm="1">
        <f t="array" ref="AA60">INDEX(_xlfn._xlws.FILTER(CapacityTable[], (CapacityTable[Model] = $B$37) * (CapacityTable[T ext] = $D60) * (CapacityTable[T water out] = $Z$8) * (CapacityTable[Type] = $C$55),Tableau2[]),1,6)</f>
        <v>1.8791195355732508</v>
      </c>
      <c r="AB60" s="78" cm="1">
        <f t="array" ref="AB60">INDEX(_xlfn._xlws.FILTER(CapacityTable[], (CapacityTable[Model] = $B$37) * (CapacityTable[T ext] = $D60) * (CapacityTable[T water out] = $Z$8) * (CapacityTable[Type] = $C$55),Tableau2[]),1,7)</f>
        <v>2.3511401708431001</v>
      </c>
      <c r="AC60" s="75" cm="1">
        <f t="array" ref="AC60">INDEX(_xlfn._xlws.FILTER(CapacityTable[], (CapacityTable[Model] = $B$37) * (CapacityTable[T ext] = $D60) * (CapacityTable[T water out] = $AC$8) * (CapacityTable[Type] = $C$55),Tableau2[]),1,5)</f>
        <v>4.3369215762295301</v>
      </c>
      <c r="AD60" s="77" cm="1">
        <f t="array" ref="AD60">INDEX(_xlfn._xlws.FILTER(CapacityTable[], (CapacityTable[Model] = $B$37) * (CapacityTable[T ext] = $D60) * (CapacityTable[T water out] = $AC$8) * (CapacityTable[Type] = $C$55),Tableau2[]),1,6)</f>
        <v>2.0455312048040728</v>
      </c>
      <c r="AE60" s="78" cm="1">
        <f t="array" ref="AE60">INDEX(_xlfn._xlws.FILTER(CapacityTable[], (CapacityTable[Model] = $B$37) * (CapacityTable[T ext] = $D60) * (CapacityTable[T water out] = $AC$8) * (CapacityTable[Type] = $C$55),Tableau2[]),1,7)</f>
        <v>2.1201933101993098</v>
      </c>
    </row>
    <row r="61" spans="2:32" x14ac:dyDescent="0.25">
      <c r="B61" s="277"/>
      <c r="C61" s="280"/>
      <c r="D61" s="38">
        <v>12</v>
      </c>
      <c r="E61" s="115" cm="1">
        <f t="array" ref="E61">INDEX(_xlfn._xlws.FILTER(CapacityTable[], (CapacityTable[Model] = $B$37) * (CapacityTable[T ext] = $D61) * (CapacityTable[T water out] = $E$8) * (CapacityTable[Type] = $C$55),Tableau2[]),1,5)</f>
        <v>3.3222473016038796</v>
      </c>
      <c r="F61" s="77" cm="1">
        <f t="array" ref="F61">INDEX(_xlfn._xlws.FILTER(CapacityTable[], (CapacityTable[Model] = $B$37) * (CapacityTable[T ext] = $D61) * (CapacityTable[T water out] = $E$8) * (CapacityTable[Type] = $C$55),Tableau2[]),1,6)</f>
        <v>0.44808311575002313</v>
      </c>
      <c r="G61" s="78" cm="1">
        <f t="array" ref="G61">INDEX(_xlfn._xlws.FILTER(CapacityTable[], (CapacityTable[Model] = $B$37) * (CapacityTable[T ext] = $D61) * (CapacityTable[T water out] = $E$8) * (CapacityTable[Type] = $C$55),Tableau2[]),1,7)</f>
        <v>7.4143550266180904</v>
      </c>
      <c r="H61" s="75" cm="1">
        <f t="array" ref="H61">INDEX(_xlfn._xlws.FILTER(CapacityTable[], (CapacityTable[Model] = $B$37) * (CapacityTable[T ext] = $D61) * (CapacityTable[T water out] = $H$8) * (CapacityTable[Type] = $C$55),Tableau2[]),1,5)</f>
        <v>3.1613200202134499</v>
      </c>
      <c r="I61" s="77" cm="1">
        <f t="array" ref="I61">INDEX(_xlfn._xlws.FILTER(CapacityTable[], (CapacityTable[Model] = $B$37) * (CapacityTable[T ext] = $D61) * (CapacityTable[T water out] = $H$8) * (CapacityTable[Type] = $C$55),Tableau2[]),1,6)</f>
        <v>0.57425468518387257</v>
      </c>
      <c r="J61" s="78" cm="1">
        <f t="array" ref="J61">INDEX(_xlfn._xlws.FILTER(CapacityTable[], (CapacityTable[Model] = $B$37) * (CapacityTable[T ext] = $D61) * (CapacityTable[T water out] = $H$8) * (CapacityTable[Type] = $C$55),Tableau2[]),1,7)</f>
        <v>5.5050835487762999</v>
      </c>
      <c r="K61" s="75" cm="1">
        <f t="array" ref="K61">INDEX(_xlfn._xlws.FILTER(CapacityTable[], (CapacityTable[Model] = $B$37) * (CapacityTable[T ext] = $D61) * (CapacityTable[T water out] = $K$8) * (CapacityTable[Type] = $C$55),Tableau2[]),1,5)</f>
        <v>3.0844264825785901</v>
      </c>
      <c r="L61" s="77" cm="1">
        <f t="array" ref="L61">INDEX(_xlfn._xlws.FILTER(CapacityTable[], (CapacityTable[Model] = $B$37) * (CapacityTable[T ext] = $D61) * (CapacityTable[T water out] = $K$8) * (CapacityTable[Type] = $C$55),Tableau2[]),1,6)</f>
        <v>0.64939866214034736</v>
      </c>
      <c r="M61" s="78" cm="1">
        <f t="array" ref="M61">INDEX(_xlfn._xlws.FILTER(CapacityTable[], (CapacityTable[Model] = $B$37) * (CapacityTable[T ext] = $D61) * (CapacityTable[T water out] = $K$8) * (CapacityTable[Type] = $C$55),Tableau2[]),1,7)</f>
        <v>4.7496655943402404</v>
      </c>
      <c r="N61" s="75" cm="1">
        <f t="array" ref="N61">INDEX(_xlfn._xlws.FILTER(CapacityTable[], (CapacityTable[Model] = $B$37) * (CapacityTable[T ext] = $D61) * (CapacityTable[T water out] = $N$8) * (CapacityTable[Type] = $C$55),Tableau2[]),1,5)</f>
        <v>3.0118534779416</v>
      </c>
      <c r="O61" s="77" cm="1">
        <f t="array" ref="O61">INDEX(_xlfn._xlws.FILTER(CapacityTable[], (CapacityTable[Model] = $B$37) * (CapacityTable[T ext] = $D61) * (CapacityTable[T water out] = $N$8) * (CapacityTable[Type] = $C$55),Tableau2[]),1,6)</f>
        <v>0.73249809381161801</v>
      </c>
      <c r="P61" s="78" cm="1">
        <f t="array" ref="P61">INDEX(_xlfn._xlws.FILTER(CapacityTable[], (CapacityTable[Model] = $B$37) * (CapacityTable[T ext] = $D61) * (CapacityTable[T water out] = $N$8) * (CapacityTable[Type] = $C$55),Tableau2[]),1,7)</f>
        <v>4.1117560624207998</v>
      </c>
      <c r="Q61" s="75" cm="1">
        <f t="array" ref="Q61">INDEX(_xlfn._xlws.FILTER(CapacityTable[], (CapacityTable[Model] = $B$37) * (CapacityTable[T ext] = $D61) * (CapacityTable[T water out] = $Q$8) * (CapacityTable[Type] = $C$55),Tableau2[]),1,5)</f>
        <v>2.9445791580869498</v>
      </c>
      <c r="R61" s="77" cm="1">
        <f t="array" ref="R61">INDEX(_xlfn._xlws.FILTER(CapacityTable[], (CapacityTable[Model] = $B$37) * (CapacityTable[T ext] = $D61) * (CapacityTable[T water out] = $Q$8) * (CapacityTable[Type] = $C$55),Tableau2[]),1,6)</f>
        <v>0.82350604158757401</v>
      </c>
      <c r="S61" s="78" cm="1">
        <f t="array" ref="S61">INDEX(_xlfn._xlws.FILTER(CapacityTable[], (CapacityTable[Model] = $B$37) * (CapacityTable[T ext] = $D61) * (CapacityTable[T water out] = $Q$8) * (CapacityTable[Type] = $C$55),Tableau2[]),1,7)</f>
        <v>3.5756618766394501</v>
      </c>
      <c r="T61" s="75" cm="1">
        <f t="array" ref="T61">INDEX(_xlfn._xlws.FILTER(CapacityTable[], (CapacityTable[Model] = $B$37) * (CapacityTable[T ext] = $D61) * (CapacityTable[T water out] = $T$8) * (CapacityTable[Type] = $C$55),Tableau2[]),1,5)</f>
        <v>3.1430069877475098</v>
      </c>
      <c r="U61" s="77" cm="1">
        <f t="array" ref="U61">INDEX(_xlfn._xlws.FILTER(CapacityTable[], (CapacityTable[Model] = $B$37) * (CapacityTable[T ext] = $D61) * (CapacityTable[T water out] = $T$8) * (CapacityTable[Type] = $C$55),Tableau2[]),1,6)</f>
        <v>0.99865386902009123</v>
      </c>
      <c r="V61" s="78" cm="1">
        <f t="array" ref="V61">INDEX(_xlfn._xlws.FILTER(CapacityTable[], (CapacityTable[Model] = $B$37) * (CapacityTable[T ext] = $D61) * (CapacityTable[T water out] = $T$8) * (CapacityTable[Type] = $C$55),Tableau2[]),1,7)</f>
        <v>3.1472435898451199</v>
      </c>
      <c r="W61" s="75" cm="1">
        <f t="array" ref="W61">INDEX(_xlfn._xlws.FILTER(CapacityTable[], (CapacityTable[Model] = $B$37) * (CapacityTable[T ext] = $D61) * (CapacityTable[T water out] = $W$8) * (CapacityTable[Type] = $C$55),Tableau2[]),1,5)</f>
        <v>3.5485032569599002</v>
      </c>
      <c r="X61" s="77" cm="1">
        <f t="array" ref="X61">INDEX(_xlfn._xlws.FILTER(CapacityTable[], (CapacityTable[Model] = $B$37) * (CapacityTable[T ext] = $D61) * (CapacityTable[T water out] = $W$8) * (CapacityTable[Type] = $C$55),Tableau2[]),1,6)</f>
        <v>1.2542496672839989</v>
      </c>
      <c r="Y61" s="78" cm="1">
        <f t="array" ref="Y61">INDEX(_xlfn._xlws.FILTER(CapacityTable[], (CapacityTable[Model] = $B$37) * (CapacityTable[T ext] = $D61) * (CapacityTable[T water out] = $W$8) * (CapacityTable[Type] = $C$55),Tableau2[]),1,7)</f>
        <v>2.8291841325690501</v>
      </c>
      <c r="Z61" s="75" cm="1">
        <f t="array" ref="Z61">INDEX(_xlfn._xlws.FILTER(CapacityTable[], (CapacityTable[Model] = $B$37) * (CapacityTable[T ext] = $D61) * (CapacityTable[T water out] = $Z$8) * (CapacityTable[Type] = $C$55),Tableau2[]),1,5)</f>
        <v>4.9919641806995294</v>
      </c>
      <c r="AA61" s="77" cm="1">
        <f t="array" ref="AA61">INDEX(_xlfn._xlws.FILTER(CapacityTable[], (CapacityTable[Model] = $B$37) * (CapacityTable[T ext] = $D61) * (CapacityTable[T water out] = $Z$8) * (CapacityTable[Type] = $C$55),Tableau2[]),1,6)</f>
        <v>1.896455331214248</v>
      </c>
      <c r="AB61" s="78" cm="1">
        <f t="array" ref="AB61">INDEX(_xlfn._xlws.FILTER(CapacityTable[], (CapacityTable[Model] = $B$37) * (CapacityTable[T ext] = $D61) * (CapacityTable[T water out] = $Z$8) * (CapacityTable[Type] = $C$55),Tableau2[]),1,7)</f>
        <v>2.6322603535846598</v>
      </c>
      <c r="AC61" s="75" cm="1">
        <f t="array" ref="AC61">INDEX(_xlfn._xlws.FILTER(CapacityTable[], (CapacityTable[Model] = $B$37) * (CapacityTable[T ext] = $D61) * (CapacityTable[T water out] = $AC$8) * (CapacityTable[Type] = $C$55),Tableau2[]),1,5)</f>
        <v>4.8760084310946405</v>
      </c>
      <c r="AD61" s="77" cm="1">
        <f t="array" ref="AD61">INDEX(_xlfn._xlws.FILTER(CapacityTable[], (CapacityTable[Model] = $B$37) * (CapacityTable[T ext] = $D61) * (CapacityTable[T water out] = $AC$8) * (CapacityTable[Type] = $C$55),Tableau2[]),1,6)</f>
        <v>2.0740479521736992</v>
      </c>
      <c r="AE61" s="78" cm="1">
        <f t="array" ref="AE61">INDEX(_xlfn._xlws.FILTER(CapacityTable[], (CapacityTable[Model] = $B$37) * (CapacityTable[T ext] = $D61) * (CapacityTable[T water out] = $AC$8) * (CapacityTable[Type] = $C$55),Tableau2[]),1,7)</f>
        <v>2.35096224558567</v>
      </c>
    </row>
    <row r="62" spans="2:32" x14ac:dyDescent="0.25">
      <c r="B62" s="277"/>
      <c r="C62" s="280"/>
      <c r="D62" s="38">
        <v>15</v>
      </c>
      <c r="E62" s="115" cm="1">
        <f t="array" ref="E62">INDEX(_xlfn._xlws.FILTER(CapacityTable[], (CapacityTable[Model] = $B$37) * (CapacityTable[T ext] = $D62) * (CapacityTable[T water out] = $E$8) * (CapacityTable[Type] = $C$55),Tableau2[]),1,5)</f>
        <v>3.6103066891186502</v>
      </c>
      <c r="F62" s="77" cm="1">
        <f t="array" ref="F62">INDEX(_xlfn._xlws.FILTER(CapacityTable[], (CapacityTable[Model] = $B$37) * (CapacityTable[T ext] = $D62) * (CapacityTable[T water out] = $E$8) * (CapacityTable[Type] = $C$55),Tableau2[]),1,6)</f>
        <v>0.44385476792638356</v>
      </c>
      <c r="G62" s="78" cm="1">
        <f t="array" ref="G62">INDEX(_xlfn._xlws.FILTER(CapacityTable[], (CapacityTable[Model] = $B$37) * (CapacityTable[T ext] = $D62) * (CapacityTable[T water out] = $E$8) * (CapacityTable[Type] = $C$55),Tableau2[]),1,7)</f>
        <v>8.1339819914189704</v>
      </c>
      <c r="H62" s="75" cm="1">
        <f t="array" ref="H62">INDEX(_xlfn._xlws.FILTER(CapacityTable[], (CapacityTable[Model] = $B$37) * (CapacityTable[T ext] = $D62) * (CapacityTable[T water out] = $H$8) * (CapacityTable[Type] = $C$55),Tableau2[]),1,5)</f>
        <v>3.43810196928652</v>
      </c>
      <c r="I62" s="77" cm="1">
        <f t="array" ref="I62">INDEX(_xlfn._xlws.FILTER(CapacityTable[], (CapacityTable[Model] = $B$37) * (CapacityTable[T ext] = $D62) * (CapacityTable[T water out] = $H$8) * (CapacityTable[Type] = $C$55),Tableau2[]),1,6)</f>
        <v>0.56689462059276896</v>
      </c>
      <c r="J62" s="78" cm="1">
        <f t="array" ref="J62">INDEX(_xlfn._xlws.FILTER(CapacityTable[], (CapacityTable[Model] = $B$37) * (CapacityTable[T ext] = $D62) * (CapacityTable[T water out] = $H$8) * (CapacityTable[Type] = $C$55),Tableau2[]),1,7)</f>
        <v>6.0647990726944903</v>
      </c>
      <c r="K62" s="75" cm="1">
        <f t="array" ref="K62">INDEX(_xlfn._xlws.FILTER(CapacityTable[], (CapacityTable[Model] = $B$37) * (CapacityTable[T ext] = $D62) * (CapacityTable[T water out] = $K$8) * (CapacityTable[Type] = $C$55),Tableau2[]),1,5)</f>
        <v>3.3538531463607999</v>
      </c>
      <c r="L62" s="77" cm="1">
        <f t="array" ref="L62">INDEX(_xlfn._xlws.FILTER(CapacityTable[], (CapacityTable[Model] = $B$37) * (CapacityTable[T ext] = $D62) * (CapacityTable[T water out] = $K$8) * (CapacityTable[Type] = $C$55),Tableau2[]),1,6)</f>
        <v>0.64167751672911488</v>
      </c>
      <c r="M62" s="78" cm="1">
        <f t="array" ref="M62">INDEX(_xlfn._xlws.FILTER(CapacityTable[], (CapacityTable[Model] = $B$37) * (CapacityTable[T ext] = $D62) * (CapacityTable[T water out] = $K$8) * (CapacityTable[Type] = $C$55),Tableau2[]),1,7)</f>
        <v>5.2266957450164702</v>
      </c>
      <c r="N62" s="75" cm="1">
        <f t="array" ref="N62">INDEX(_xlfn._xlws.FILTER(CapacityTable[], (CapacityTable[Model] = $B$37) * (CapacityTable[T ext] = $D62) * (CapacityTable[T water out] = $N$8) * (CapacityTable[Type] = $C$55),Tableau2[]),1,5)</f>
        <v>3.2702914242804098</v>
      </c>
      <c r="O62" s="77" cm="1">
        <f t="array" ref="O62">INDEX(_xlfn._xlws.FILTER(CapacityTable[], (CapacityTable[Model] = $B$37) * (CapacityTable[T ext] = $D62) * (CapacityTable[T water out] = $N$8) * (CapacityTable[Type] = $C$55),Tableau2[]),1,6)</f>
        <v>0.72546676701848478</v>
      </c>
      <c r="P62" s="78" cm="1">
        <f t="array" ref="P62">INDEX(_xlfn._xlws.FILTER(CapacityTable[], (CapacityTable[Model] = $B$37) * (CapacityTable[T ext] = $D62) * (CapacityTable[T water out] = $N$8) * (CapacityTable[Type] = $C$55),Tableau2[]),1,7)</f>
        <v>4.5078445670511096</v>
      </c>
      <c r="Q62" s="75" cm="1">
        <f t="array" ref="Q62">INDEX(_xlfn._xlws.FILTER(CapacityTable[], (CapacityTable[Model] = $B$37) * (CapacityTable[T ext] = $D62) * (CapacityTable[T water out] = $Q$8) * (CapacityTable[Type] = $C$55),Tableau2[]),1,5)</f>
        <v>3.1916810823204602</v>
      </c>
      <c r="R62" s="77" cm="1">
        <f t="array" ref="R62">INDEX(_xlfn._xlws.FILTER(CapacityTable[], (CapacityTable[Model] = $B$37) * (CapacityTable[T ext] = $D62) * (CapacityTable[T water out] = $Q$8) * (CapacityTable[Type] = $C$55),Tableau2[]),1,6)</f>
        <v>0.81797654371154049</v>
      </c>
      <c r="S62" s="78" cm="1">
        <f t="array" ref="S62">INDEX(_xlfn._xlws.FILTER(CapacityTable[], (CapacityTable[Model] = $B$37) * (CapacityTable[T ext] = $D62) * (CapacityTable[T water out] = $Q$8) * (CapacityTable[Type] = $C$55),Tableau2[]),1,7)</f>
        <v>3.9019225023719102</v>
      </c>
      <c r="T62" s="75" cm="1">
        <f t="array" ref="T62">INDEX(_xlfn._xlws.FILTER(CapacityTable[], (CapacityTable[Model] = $B$37) * (CapacityTable[T ext] = $D62) * (CapacityTable[T water out] = $T$8) * (CapacityTable[Type] = $C$55),Tableau2[]),1,5)</f>
        <v>3.3924919008933396</v>
      </c>
      <c r="U62" s="77" cm="1">
        <f t="array" ref="U62">INDEX(_xlfn._xlws.FILTER(CapacityTable[], (CapacityTable[Model] = $B$37) * (CapacityTable[T ext] = $D62) * (CapacityTable[T water out] = $T$8) * (CapacityTable[Type] = $C$55),Tableau2[]),1,6)</f>
        <v>0.99624494894573712</v>
      </c>
      <c r="V62" s="78" cm="1">
        <f t="array" ref="V62">INDEX(_xlfn._xlws.FILTER(CapacityTable[], (CapacityTable[Model] = $B$37) * (CapacityTable[T ext] = $D62) * (CapacityTable[T water out] = $T$8) * (CapacityTable[Type] = $C$55),Tableau2[]),1,7)</f>
        <v>3.4052788970056</v>
      </c>
      <c r="W62" s="75" cm="1">
        <f t="array" ref="W62">INDEX(_xlfn._xlws.FILTER(CapacityTable[], (CapacityTable[Model] = $B$37) * (CapacityTable[T ext] = $D62) * (CapacityTable[T water out] = $W$8) * (CapacityTable[Type] = $C$55),Tableau2[]),1,5)</f>
        <v>3.8101040626042</v>
      </c>
      <c r="X62" s="77" cm="1">
        <f t="array" ref="X62">INDEX(_xlfn._xlws.FILTER(CapacityTable[], (CapacityTable[Model] = $B$37) * (CapacityTable[T ext] = $D62) * (CapacityTable[T water out] = $W$8) * (CapacityTable[Type] = $C$55),Tableau2[]),1,6)</f>
        <v>1.2568544385941594</v>
      </c>
      <c r="Y62" s="78" cm="1">
        <f t="array" ref="Y62">INDEX(_xlfn._xlws.FILTER(CapacityTable[], (CapacityTable[Model] = $B$37) * (CapacityTable[T ext] = $D62) * (CapacityTable[T water out] = $W$8) * (CapacityTable[Type] = $C$55),Tableau2[]),1,7)</f>
        <v>3.03146008448357</v>
      </c>
      <c r="Z62" s="75" cm="1">
        <f t="array" ref="Z62">INDEX(_xlfn._xlws.FILTER(CapacityTable[], (CapacityTable[Model] = $B$37) * (CapacityTable[T ext] = $D62) * (CapacityTable[T water out] = $Z$8) * (CapacityTable[Type] = $C$55),Tableau2[]),1,5)</f>
        <v>5.2699497982248502</v>
      </c>
      <c r="AA62" s="77" cm="1">
        <f t="array" ref="AA62">INDEX(_xlfn._xlws.FILTER(CapacityTable[], (CapacityTable[Model] = $B$37) * (CapacityTable[T ext] = $D62) * (CapacityTable[T water out] = $Z$8) * (CapacityTable[Type] = $C$55),Tableau2[]),1,6)</f>
        <v>1.9118417005856516</v>
      </c>
      <c r="AB62" s="78" cm="1">
        <f t="array" ref="AB62">INDEX(_xlfn._xlws.FILTER(CapacityTable[], (CapacityTable[Model] = $B$37) * (CapacityTable[T ext] = $D62) * (CapacityTable[T water out] = $Z$8) * (CapacityTable[Type] = $C$55),Tableau2[]),1,7)</f>
        <v>2.7564781104055398</v>
      </c>
      <c r="AC62" s="75" cm="1">
        <f t="array" ref="AC62">INDEX(_xlfn._xlws.FILTER(CapacityTable[], (CapacityTable[Model] = $B$37) * (CapacityTable[T ext] = $D62) * (CapacityTable[T water out] = $AC$8) * (CapacityTable[Type] = $C$55),Tableau2[]),1,5)</f>
        <v>5.1548416942633501</v>
      </c>
      <c r="AD62" s="77" cm="1">
        <f t="array" ref="AD62">INDEX(_xlfn._xlws.FILTER(CapacityTable[], (CapacityTable[Model] = $B$37) * (CapacityTable[T ext] = $D62) * (CapacityTable[T water out] = $AC$8) * (CapacityTable[Type] = $C$55),Tableau2[]),1,6)</f>
        <v>2.0927698889974473</v>
      </c>
      <c r="AE62" s="78" cm="1">
        <f t="array" ref="AE62">INDEX(_xlfn._xlws.FILTER(CapacityTable[], (CapacityTable[Model] = $B$37) * (CapacityTable[T ext] = $D62) * (CapacityTable[T water out] = $AC$8) * (CapacityTable[Type] = $C$55),Tableau2[]),1,7)</f>
        <v>2.4631669833193199</v>
      </c>
      <c r="AF62" s="230">
        <f>MAX(V10:AE63)</f>
        <v>10.775556084587242</v>
      </c>
    </row>
    <row r="63" spans="2:32" ht="15.75" thickBot="1" x14ac:dyDescent="0.3">
      <c r="B63" s="278"/>
      <c r="C63" s="283"/>
      <c r="D63" s="39">
        <v>20</v>
      </c>
      <c r="E63" s="118" cm="1">
        <f t="array" ref="E63">INDEX(_xlfn._xlws.FILTER(CapacityTable[], (CapacityTable[Model] = $B$37) * (CapacityTable[T ext] = $D63) * (CapacityTable[T water out] = $E$8) * (CapacityTable[Type] = $C$55),Tableau2[]),1,5)</f>
        <v>4.0699803433311201</v>
      </c>
      <c r="F63" s="105" cm="1">
        <f t="array" ref="F63">INDEX(_xlfn._xlws.FILTER(CapacityTable[], (CapacityTable[Model] = $B$37) * (CapacityTable[T ext] = $D63) * (CapacityTable[T water out] = $E$8) * (CapacityTable[Type] = $C$55),Tableau2[]),1,6)</f>
        <v>0.44393999571279907</v>
      </c>
      <c r="G63" s="100" cm="1">
        <f t="array" ref="G63">INDEX(_xlfn._xlws.FILTER(CapacityTable[], (CapacityTable[Model] = $B$37) * (CapacityTable[T ext] = $D63) * (CapacityTable[T water out] = $E$8) * (CapacityTable[Type] = $C$55),Tableau2[]),1,7)</f>
        <v>9.1678613836004494</v>
      </c>
      <c r="H63" s="94" cm="1">
        <f t="array" ref="H63">INDEX(_xlfn._xlws.FILTER(CapacityTable[], (CapacityTable[Model] = $B$37) * (CapacityTable[T ext] = $D63) * (CapacityTable[T water out] = $H$8) * (CapacityTable[Type] = $C$55),Tableau2[]),1,5)</f>
        <v>3.8746789570732698</v>
      </c>
      <c r="I63" s="105" cm="1">
        <f t="array" ref="I63">INDEX(_xlfn._xlws.FILTER(CapacityTable[], (CapacityTable[Model] = $B$37) * (CapacityTable[T ext] = $D63) * (CapacityTable[T water out] = $H$8) * (CapacityTable[Type] = $C$55),Tableau2[]),1,6)</f>
        <v>0.5615909671191045</v>
      </c>
      <c r="J63" s="100" cm="1">
        <f t="array" ref="J63">INDEX(_xlfn._xlws.FILTER(CapacityTable[], (CapacityTable[Model] = $B$37) * (CapacityTable[T ext] = $D63) * (CapacityTable[T water out] = $H$8) * (CapacityTable[Type] = $C$55),Tableau2[]),1,7)</f>
        <v>6.8994680896488001</v>
      </c>
      <c r="K63" s="94" cm="1">
        <f t="array" ref="K63">INDEX(_xlfn._xlws.FILTER(CapacityTable[], (CapacityTable[Model] = $B$37) * (CapacityTable[T ext] = $D63) * (CapacityTable[T water out] = $K$8) * (CapacityTable[Type] = $C$55),Tableau2[]),1,5)</f>
        <v>3.7753376059329797</v>
      </c>
      <c r="L63" s="105" cm="1">
        <f t="array" ref="L63">INDEX(_xlfn._xlws.FILTER(CapacityTable[], (CapacityTable[Model] = $B$37) * (CapacityTable[T ext] = $D63) * (CapacityTable[T water out] = $K$8) * (CapacityTable[Type] = $C$55),Tableau2[]),1,6)</f>
        <v>0.63548998068305229</v>
      </c>
      <c r="M63" s="100" cm="1">
        <f t="array" ref="M63">INDEX(_xlfn._xlws.FILTER(CapacityTable[], (CapacityTable[Model] = $B$37) * (CapacityTable[T ext] = $D63) * (CapacityTable[T water out] = $K$8) * (CapacityTable[Type] = $C$55),Tableau2[]),1,7)</f>
        <v>5.9408294712610301</v>
      </c>
      <c r="N63" s="94" cm="1">
        <f t="array" ref="N63">INDEX(_xlfn._xlws.FILTER(CapacityTable[], (CapacityTable[Model] = $B$37) * (CapacityTable[T ext] = $D63) * (CapacityTable[T water out] = $N$8) * (CapacityTable[Type] = $C$55),Tableau2[]),1,5)</f>
        <v>3.67649502108288</v>
      </c>
      <c r="O63" s="105" cm="1">
        <f t="array" ref="O63">INDEX(_xlfn._xlws.FILTER(CapacityTable[], (CapacityTable[Model] = $B$37) * (CapacityTable[T ext] = $D63) * (CapacityTable[T water out] = $N$8) * (CapacityTable[Type] = $C$55),Tableau2[]),1,6)</f>
        <v>0.7193948375826924</v>
      </c>
      <c r="P63" s="100" cm="1">
        <f t="array" ref="P63">INDEX(_xlfn._xlws.FILTER(CapacityTable[], (CapacityTable[Model] = $B$37) * (CapacityTable[T ext] = $D63) * (CapacityTable[T water out] = $N$8) * (CapacityTable[Type] = $C$55),Tableau2[]),1,7)</f>
        <v>5.1105385096126401</v>
      </c>
      <c r="Q63" s="94" cm="1">
        <f t="array" ref="Q63">INDEX(_xlfn._xlws.FILTER(CapacityTable[], (CapacityTable[Model] = $B$37) * (CapacityTable[T ext] = $D63) * (CapacityTable[T water out] = $Q$8) * (CapacityTable[Type] = $C$55),Tableau2[]),1,5)</f>
        <v>3.5812754105917302</v>
      </c>
      <c r="R63" s="105" cm="1">
        <f t="array" ref="R63">INDEX(_xlfn._xlws.FILTER(CapacityTable[], (CapacityTable[Model] = $B$37) * (CapacityTable[T ext] = $D63) * (CapacityTable[T water out] = $Q$8) * (CapacityTable[Type] = $C$55),Tableau2[]),1,6)</f>
        <v>0.81323780615842034</v>
      </c>
      <c r="S63" s="100" cm="1">
        <f t="array" ref="S63">INDEX(_xlfn._xlws.FILTER(CapacityTable[], (CapacityTable[Model] = $B$37) * (CapacityTable[T ext] = $D63) * (CapacityTable[T water out] = $Q$8) * (CapacityTable[Type] = $C$55),Tableau2[]),1,7)</f>
        <v>4.4037246958660097</v>
      </c>
      <c r="T63" s="94" cm="1">
        <f t="array" ref="T63">INDEX(_xlfn._xlws.FILTER(CapacityTable[], (CapacityTable[Model] = $B$37) * (CapacityTable[T ext] = $D63) * (CapacityTable[T water out] = $T$8) * (CapacityTable[Type] = $C$55),Tableau2[]),1,5)</f>
        <v>3.7864068109526401</v>
      </c>
      <c r="U63" s="105" cm="1">
        <f t="array" ref="U63">INDEX(_xlfn._xlws.FILTER(CapacityTable[], (CapacityTable[Model] = $B$37) * (CapacityTable[T ext] = $D63) * (CapacityTable[T water out] = $T$8) * (CapacityTable[Type] = $C$55),Tableau2[]),1,6)</f>
        <v>0.99461143356858606</v>
      </c>
      <c r="V63" s="100" cm="1">
        <f t="array" ref="V63">INDEX(_xlfn._xlws.FILTER(CapacityTable[], (CapacityTable[Model] = $B$37) * (CapacityTable[T ext] = $D63) * (CapacityTable[T water out] = $T$8) * (CapacityTable[Type] = $C$55),Tableau2[]),1,7)</f>
        <v>3.8069206558055702</v>
      </c>
      <c r="W63" s="94" cm="1">
        <f t="array" ref="W63">INDEX(_xlfn._xlws.FILTER(CapacityTable[], (CapacityTable[Model] = $B$37) * (CapacityTable[T ext] = $D63) * (CapacityTable[T water out] = $W$8) * (CapacityTable[Type] = $C$55),Tableau2[]),1,5)</f>
        <v>4.2241840725694297</v>
      </c>
      <c r="X63" s="105" cm="1">
        <f t="array" ref="X63">INDEX(_xlfn._xlws.FILTER(CapacityTable[], (CapacityTable[Model] = $B$37) * (CapacityTable[T ext] = $D63) * (CapacityTable[T water out] = $W$8) * (CapacityTable[Type] = $C$55),Tableau2[]),1,6)</f>
        <v>1.2613488686195016</v>
      </c>
      <c r="Y63" s="100" cm="1">
        <f t="array" ref="Y63">INDEX(_xlfn._xlws.FILTER(CapacityTable[], (CapacityTable[Model] = $B$37) * (CapacityTable[T ext] = $D63) * (CapacityTable[T water out] = $W$8) * (CapacityTable[Type] = $C$55),Tableau2[]),1,7)</f>
        <v>3.3489418967748699</v>
      </c>
      <c r="Z63" s="94" cm="1">
        <f t="array" ref="Z63">INDEX(_xlfn._xlws.FILTER(CapacityTable[], (CapacityTable[Model] = $B$37) * (CapacityTable[T ext] = $D63) * (CapacityTable[T water out] = $Z$8) * (CapacityTable[Type] = $C$55),Tableau2[]),1,5)</f>
        <v>5.8019476489326998</v>
      </c>
      <c r="AA63" s="105" cm="1">
        <f t="array" ref="AA63">INDEX(_xlfn._xlws.FILTER(CapacityTable[], (CapacityTable[Model] = $B$37) * (CapacityTable[T ext] = $D63) * (CapacityTable[T water out] = $Z$8) * (CapacityTable[Type] = $C$55),Tableau2[]),1,6)</f>
        <v>1.9289895032598607</v>
      </c>
      <c r="AB63" s="100" cm="1">
        <f t="array" ref="AB63">INDEX(_xlfn._xlws.FILTER(CapacityTable[], (CapacityTable[Model] = $B$37) * (CapacityTable[T ext] = $D63) * (CapacityTable[T water out] = $Z$8) * (CapacityTable[Type] = $C$55),Tableau2[]),1,7)</f>
        <v>3.00776527768959</v>
      </c>
      <c r="AC63" s="94" cm="1">
        <f t="array" ref="AC63">INDEX(_xlfn._xlws.FILTER(CapacityTable[], (CapacityTable[Model] = $B$37) * (CapacityTable[T ext] = $D63) * (CapacityTable[T water out] = $AC$8) * (CapacityTable[Type] = $C$55),Tableau2[]),1,5)</f>
        <v>5.65798351236361</v>
      </c>
      <c r="AD63" s="105" cm="1">
        <f t="array" ref="AD63">INDEX(_xlfn._xlws.FILTER(CapacityTable[], (CapacityTable[Model] = $B$37) * (CapacityTable[T ext] = $D63) * (CapacityTable[T water out] = $AC$8) * (CapacityTable[Type] = $C$55),Tableau2[]),1,6)</f>
        <v>2.116889883404721</v>
      </c>
      <c r="AE63" s="100" cm="1">
        <f t="array" ref="AE63">INDEX(_xlfn._xlws.FILTER(CapacityTable[], (CapacityTable[Model] = $B$37) * (CapacityTable[T ext] = $D63) * (CapacityTable[T water out] = $AC$8) * (CapacityTable[Type] = $C$55),Tableau2[]),1,7)</f>
        <v>2.6727812139493698</v>
      </c>
    </row>
    <row r="64" spans="2:32" x14ac:dyDescent="0.25">
      <c r="B64" s="276"/>
      <c r="C64" s="279"/>
      <c r="D64" s="37"/>
      <c r="E64" s="43"/>
      <c r="F64" s="63"/>
      <c r="G64" s="44"/>
      <c r="H64" s="72"/>
      <c r="I64" s="63"/>
      <c r="J64" s="44"/>
      <c r="K64" s="43"/>
      <c r="L64" s="63"/>
      <c r="M64" s="44"/>
      <c r="N64" s="45"/>
      <c r="O64" s="63"/>
      <c r="P64" s="44"/>
      <c r="Q64" s="45"/>
      <c r="R64" s="63"/>
      <c r="S64" s="44"/>
      <c r="T64" s="45"/>
      <c r="U64" s="63"/>
      <c r="V64" s="44"/>
      <c r="W64" s="45"/>
      <c r="X64" s="63"/>
      <c r="Y64" s="44"/>
      <c r="Z64" s="45"/>
      <c r="AA64" s="63"/>
      <c r="AB64" s="44"/>
      <c r="AC64" s="45"/>
      <c r="AD64" s="63"/>
      <c r="AE64" s="44"/>
    </row>
    <row r="65" spans="2:31" x14ac:dyDescent="0.25">
      <c r="B65" s="277"/>
      <c r="C65" s="280"/>
      <c r="D65" s="38"/>
      <c r="E65" s="35"/>
      <c r="F65" s="64"/>
      <c r="G65" s="33"/>
      <c r="H65" s="70"/>
      <c r="I65" s="64"/>
      <c r="J65" s="33"/>
      <c r="K65" s="35"/>
      <c r="L65" s="64"/>
      <c r="M65" s="33"/>
      <c r="N65" s="40"/>
      <c r="O65" s="64"/>
      <c r="P65" s="33"/>
      <c r="Q65" s="40"/>
      <c r="R65" s="64"/>
      <c r="S65" s="33"/>
      <c r="T65" s="40"/>
      <c r="U65" s="64"/>
      <c r="V65" s="33"/>
      <c r="W65" s="40"/>
      <c r="X65" s="64"/>
      <c r="Y65" s="33"/>
      <c r="Z65" s="40"/>
      <c r="AA65" s="64"/>
      <c r="AB65" s="33"/>
      <c r="AC65" s="40"/>
      <c r="AD65" s="64"/>
      <c r="AE65" s="33"/>
    </row>
    <row r="66" spans="2:31" x14ac:dyDescent="0.25">
      <c r="B66" s="277"/>
      <c r="C66" s="280"/>
      <c r="D66" s="38"/>
      <c r="E66" s="35"/>
      <c r="F66" s="64"/>
      <c r="G66" s="33"/>
      <c r="H66" s="70"/>
      <c r="I66" s="64"/>
      <c r="J66" s="33"/>
      <c r="K66" s="35"/>
      <c r="L66" s="64"/>
      <c r="M66" s="33"/>
      <c r="N66" s="40"/>
      <c r="O66" s="64"/>
      <c r="P66" s="33"/>
      <c r="Q66" s="40"/>
      <c r="R66" s="64"/>
      <c r="S66" s="33"/>
      <c r="T66" s="40"/>
      <c r="U66" s="64"/>
      <c r="V66" s="33"/>
      <c r="W66" s="40"/>
      <c r="X66" s="64"/>
      <c r="Y66" s="33"/>
      <c r="Z66" s="40"/>
      <c r="AA66" s="64"/>
      <c r="AB66" s="33"/>
      <c r="AC66" s="40"/>
      <c r="AD66" s="64"/>
      <c r="AE66" s="33"/>
    </row>
    <row r="67" spans="2:31" x14ac:dyDescent="0.25">
      <c r="B67" s="277"/>
      <c r="C67" s="280"/>
      <c r="D67" s="38"/>
      <c r="E67" s="35"/>
      <c r="F67" s="64"/>
      <c r="G67" s="33"/>
      <c r="H67" s="70"/>
      <c r="I67" s="64"/>
      <c r="J67" s="33"/>
      <c r="K67" s="35"/>
      <c r="L67" s="64"/>
      <c r="M67" s="33"/>
      <c r="N67" s="40"/>
      <c r="O67" s="64"/>
      <c r="P67" s="33"/>
      <c r="Q67" s="40"/>
      <c r="R67" s="64"/>
      <c r="S67" s="33"/>
      <c r="T67" s="40"/>
      <c r="U67" s="64"/>
      <c r="V67" s="33"/>
      <c r="W67" s="40"/>
      <c r="X67" s="64"/>
      <c r="Y67" s="33"/>
      <c r="Z67" s="40"/>
      <c r="AA67" s="64"/>
      <c r="AB67" s="33"/>
      <c r="AC67" s="40"/>
      <c r="AD67" s="64"/>
      <c r="AE67" s="33"/>
    </row>
    <row r="68" spans="2:31" x14ac:dyDescent="0.25">
      <c r="B68" s="277"/>
      <c r="C68" s="281"/>
      <c r="D68" s="48"/>
      <c r="E68" s="49"/>
      <c r="F68" s="65"/>
      <c r="G68" s="50"/>
      <c r="H68" s="71"/>
      <c r="I68" s="65"/>
      <c r="J68" s="50"/>
      <c r="K68" s="49"/>
      <c r="L68" s="65"/>
      <c r="M68" s="50"/>
      <c r="N68" s="51"/>
      <c r="O68" s="65"/>
      <c r="P68" s="50"/>
      <c r="Q68" s="51"/>
      <c r="R68" s="65"/>
      <c r="S68" s="50"/>
      <c r="T68" s="51"/>
      <c r="U68" s="65"/>
      <c r="V68" s="50"/>
      <c r="W68" s="51"/>
      <c r="X68" s="65"/>
      <c r="Y68" s="50"/>
      <c r="Z68" s="51"/>
      <c r="AA68" s="65"/>
      <c r="AB68" s="50"/>
      <c r="AC68" s="51"/>
      <c r="AD68" s="65"/>
      <c r="AE68" s="50"/>
    </row>
    <row r="69" spans="2:31" x14ac:dyDescent="0.25">
      <c r="B69" s="277"/>
      <c r="C69" s="281"/>
      <c r="D69" s="48"/>
      <c r="E69" s="49"/>
      <c r="F69" s="65"/>
      <c r="G69" s="50"/>
      <c r="H69" s="71"/>
      <c r="I69" s="65"/>
      <c r="J69" s="50"/>
      <c r="K69" s="49"/>
      <c r="L69" s="65"/>
      <c r="M69" s="50"/>
      <c r="N69" s="51"/>
      <c r="O69" s="65"/>
      <c r="P69" s="50"/>
      <c r="Q69" s="51"/>
      <c r="R69" s="65"/>
      <c r="S69" s="50"/>
      <c r="T69" s="51"/>
      <c r="U69" s="65"/>
      <c r="V69" s="50"/>
      <c r="W69" s="51"/>
      <c r="X69" s="65"/>
      <c r="Y69" s="50"/>
      <c r="Z69" s="51"/>
      <c r="AA69" s="65"/>
      <c r="AB69" s="50"/>
      <c r="AC69" s="51"/>
      <c r="AD69" s="65"/>
      <c r="AE69" s="50"/>
    </row>
    <row r="70" spans="2:31" x14ac:dyDescent="0.25">
      <c r="B70" s="277"/>
      <c r="C70" s="281"/>
      <c r="D70" s="48"/>
      <c r="E70" s="49"/>
      <c r="F70" s="65"/>
      <c r="G70" s="50"/>
      <c r="H70" s="71"/>
      <c r="I70" s="65"/>
      <c r="J70" s="50"/>
      <c r="K70" s="49"/>
      <c r="L70" s="65"/>
      <c r="M70" s="50"/>
      <c r="N70" s="51"/>
      <c r="O70" s="65"/>
      <c r="P70" s="50"/>
      <c r="Q70" s="51"/>
      <c r="R70" s="65"/>
      <c r="S70" s="50"/>
      <c r="T70" s="51"/>
      <c r="U70" s="65"/>
      <c r="V70" s="50"/>
      <c r="W70" s="51"/>
      <c r="X70" s="65"/>
      <c r="Y70" s="50"/>
      <c r="Z70" s="51"/>
      <c r="AA70" s="65"/>
      <c r="AB70" s="50"/>
      <c r="AC70" s="51"/>
      <c r="AD70" s="65"/>
      <c r="AE70" s="50"/>
    </row>
    <row r="71" spans="2:31" x14ac:dyDescent="0.25">
      <c r="B71" s="277"/>
      <c r="C71" s="281"/>
      <c r="D71" s="48"/>
      <c r="E71" s="49"/>
      <c r="F71" s="65"/>
      <c r="G71" s="50"/>
      <c r="H71" s="71"/>
      <c r="I71" s="65"/>
      <c r="J71" s="50"/>
      <c r="K71" s="49"/>
      <c r="L71" s="65"/>
      <c r="M71" s="50"/>
      <c r="N71" s="51"/>
      <c r="O71" s="65"/>
      <c r="P71" s="50"/>
      <c r="Q71" s="51"/>
      <c r="R71" s="65"/>
      <c r="S71" s="50"/>
      <c r="T71" s="51"/>
      <c r="U71" s="65"/>
      <c r="V71" s="50"/>
      <c r="W71" s="51"/>
      <c r="X71" s="65"/>
      <c r="Y71" s="50"/>
      <c r="Z71" s="51"/>
      <c r="AA71" s="65"/>
      <c r="AB71" s="50"/>
      <c r="AC71" s="51"/>
      <c r="AD71" s="65"/>
      <c r="AE71" s="50"/>
    </row>
    <row r="72" spans="2:31" x14ac:dyDescent="0.25">
      <c r="B72" s="277"/>
      <c r="C72" s="281"/>
      <c r="D72" s="48"/>
      <c r="E72" s="49"/>
      <c r="F72" s="65"/>
      <c r="G72" s="50"/>
      <c r="H72" s="71"/>
      <c r="I72" s="65"/>
      <c r="J72" s="50"/>
      <c r="K72" s="49"/>
      <c r="L72" s="65"/>
      <c r="M72" s="50"/>
      <c r="N72" s="51"/>
      <c r="O72" s="65"/>
      <c r="P72" s="50"/>
      <c r="Q72" s="51"/>
      <c r="R72" s="65"/>
      <c r="S72" s="50"/>
      <c r="T72" s="51"/>
      <c r="U72" s="65"/>
      <c r="V72" s="50"/>
      <c r="W72" s="51"/>
      <c r="X72" s="65"/>
      <c r="Y72" s="50"/>
      <c r="Z72" s="51"/>
      <c r="AA72" s="65"/>
      <c r="AB72" s="50"/>
      <c r="AC72" s="51"/>
      <c r="AD72" s="65"/>
      <c r="AE72" s="50"/>
    </row>
    <row r="73" spans="2:31" x14ac:dyDescent="0.25">
      <c r="B73" s="277"/>
      <c r="C73" s="282"/>
      <c r="D73" s="42"/>
      <c r="E73" s="43"/>
      <c r="F73" s="63"/>
      <c r="G73" s="44"/>
      <c r="H73" s="72"/>
      <c r="I73" s="63"/>
      <c r="J73" s="44"/>
      <c r="K73" s="45"/>
      <c r="L73" s="63"/>
      <c r="M73" s="44"/>
      <c r="N73" s="45"/>
      <c r="O73" s="63"/>
      <c r="P73" s="44"/>
      <c r="Q73" s="45"/>
      <c r="R73" s="63"/>
      <c r="S73" s="44"/>
      <c r="T73" s="45"/>
      <c r="U73" s="63"/>
      <c r="V73" s="44"/>
      <c r="W73" s="45"/>
      <c r="X73" s="63"/>
      <c r="Y73" s="44"/>
      <c r="Z73" s="45"/>
      <c r="AA73" s="63"/>
      <c r="AB73" s="44"/>
      <c r="AC73" s="45"/>
      <c r="AD73" s="63"/>
      <c r="AE73" s="44"/>
    </row>
    <row r="74" spans="2:31" x14ac:dyDescent="0.25">
      <c r="B74" s="277"/>
      <c r="C74" s="279"/>
      <c r="D74" s="37"/>
      <c r="E74" s="59"/>
      <c r="F74" s="66"/>
      <c r="G74" s="60"/>
      <c r="H74" s="73"/>
      <c r="I74" s="66"/>
      <c r="J74" s="60"/>
      <c r="K74" s="61"/>
      <c r="L74" s="66"/>
      <c r="M74" s="60"/>
      <c r="N74" s="61"/>
      <c r="O74" s="66"/>
      <c r="P74" s="60"/>
      <c r="Q74" s="61"/>
      <c r="R74" s="66"/>
      <c r="S74" s="60"/>
      <c r="T74" s="61"/>
      <c r="U74" s="66"/>
      <c r="V74" s="60"/>
      <c r="W74" s="61"/>
      <c r="X74" s="66"/>
      <c r="Y74" s="60"/>
      <c r="Z74" s="61"/>
      <c r="AA74" s="66"/>
      <c r="AB74" s="60"/>
      <c r="AC74" s="61"/>
      <c r="AD74" s="66"/>
      <c r="AE74" s="60"/>
    </row>
    <row r="75" spans="2:31" x14ac:dyDescent="0.25">
      <c r="B75" s="277"/>
      <c r="C75" s="279"/>
      <c r="D75" s="37"/>
      <c r="E75" s="59"/>
      <c r="F75" s="66"/>
      <c r="G75" s="60"/>
      <c r="H75" s="73"/>
      <c r="I75" s="66"/>
      <c r="J75" s="60"/>
      <c r="K75" s="61"/>
      <c r="L75" s="66"/>
      <c r="M75" s="60"/>
      <c r="N75" s="61"/>
      <c r="O75" s="66"/>
      <c r="P75" s="60"/>
      <c r="Q75" s="61"/>
      <c r="R75" s="66"/>
      <c r="S75" s="60"/>
      <c r="T75" s="61"/>
      <c r="U75" s="66"/>
      <c r="V75" s="60"/>
      <c r="W75" s="61"/>
      <c r="X75" s="66"/>
      <c r="Y75" s="60"/>
      <c r="Z75" s="61"/>
      <c r="AA75" s="66"/>
      <c r="AB75" s="60"/>
      <c r="AC75" s="61"/>
      <c r="AD75" s="66"/>
      <c r="AE75" s="60"/>
    </row>
    <row r="76" spans="2:31" x14ac:dyDescent="0.25">
      <c r="B76" s="277"/>
      <c r="C76" s="279"/>
      <c r="D76" s="37"/>
      <c r="E76" s="59"/>
      <c r="F76" s="66"/>
      <c r="G76" s="60"/>
      <c r="H76" s="73"/>
      <c r="I76" s="66"/>
      <c r="J76" s="60"/>
      <c r="K76" s="61"/>
      <c r="L76" s="66"/>
      <c r="M76" s="60"/>
      <c r="N76" s="61"/>
      <c r="O76" s="66"/>
      <c r="P76" s="60"/>
      <c r="Q76" s="61"/>
      <c r="R76" s="66"/>
      <c r="S76" s="60"/>
      <c r="T76" s="61"/>
      <c r="U76" s="66"/>
      <c r="V76" s="60"/>
      <c r="W76" s="61"/>
      <c r="X76" s="66"/>
      <c r="Y76" s="60"/>
      <c r="Z76" s="61"/>
      <c r="AA76" s="66"/>
      <c r="AB76" s="60"/>
      <c r="AC76" s="61"/>
      <c r="AD76" s="66"/>
      <c r="AE76" s="60"/>
    </row>
    <row r="77" spans="2:31" x14ac:dyDescent="0.25">
      <c r="B77" s="277"/>
      <c r="C77" s="279"/>
      <c r="D77" s="37"/>
      <c r="E77" s="59"/>
      <c r="F77" s="66"/>
      <c r="G77" s="60"/>
      <c r="H77" s="73"/>
      <c r="I77" s="66"/>
      <c r="J77" s="60"/>
      <c r="K77" s="61"/>
      <c r="L77" s="66"/>
      <c r="M77" s="60"/>
      <c r="N77" s="61"/>
      <c r="O77" s="66"/>
      <c r="P77" s="60"/>
      <c r="Q77" s="61"/>
      <c r="R77" s="66"/>
      <c r="S77" s="60"/>
      <c r="T77" s="61"/>
      <c r="U77" s="66"/>
      <c r="V77" s="60"/>
      <c r="W77" s="61"/>
      <c r="X77" s="66"/>
      <c r="Y77" s="60"/>
      <c r="Z77" s="61"/>
      <c r="AA77" s="66"/>
      <c r="AB77" s="60"/>
      <c r="AC77" s="61"/>
      <c r="AD77" s="66"/>
      <c r="AE77" s="60"/>
    </row>
    <row r="78" spans="2:31" x14ac:dyDescent="0.25">
      <c r="B78" s="277"/>
      <c r="C78" s="279"/>
      <c r="D78" s="37"/>
      <c r="E78" s="59"/>
      <c r="F78" s="66"/>
      <c r="G78" s="60"/>
      <c r="H78" s="73"/>
      <c r="I78" s="66"/>
      <c r="J78" s="60"/>
      <c r="K78" s="61"/>
      <c r="L78" s="66"/>
      <c r="M78" s="60"/>
      <c r="N78" s="61"/>
      <c r="O78" s="66"/>
      <c r="P78" s="60"/>
      <c r="Q78" s="61"/>
      <c r="R78" s="66"/>
      <c r="S78" s="60"/>
      <c r="T78" s="61"/>
      <c r="U78" s="66"/>
      <c r="V78" s="60"/>
      <c r="W78" s="61"/>
      <c r="X78" s="66"/>
      <c r="Y78" s="60"/>
      <c r="Z78" s="61"/>
      <c r="AA78" s="66"/>
      <c r="AB78" s="60"/>
      <c r="AC78" s="61"/>
      <c r="AD78" s="66"/>
      <c r="AE78" s="60"/>
    </row>
    <row r="79" spans="2:31" x14ac:dyDescent="0.25">
      <c r="B79" s="277"/>
      <c r="C79" s="279"/>
      <c r="D79" s="37"/>
      <c r="E79" s="59"/>
      <c r="F79" s="66"/>
      <c r="G79" s="60"/>
      <c r="H79" s="73"/>
      <c r="I79" s="66"/>
      <c r="J79" s="60"/>
      <c r="K79" s="61"/>
      <c r="L79" s="66"/>
      <c r="M79" s="60"/>
      <c r="N79" s="61"/>
      <c r="O79" s="66"/>
      <c r="P79" s="60"/>
      <c r="Q79" s="61"/>
      <c r="R79" s="66"/>
      <c r="S79" s="60"/>
      <c r="T79" s="61"/>
      <c r="U79" s="66"/>
      <c r="V79" s="60"/>
      <c r="W79" s="61"/>
      <c r="X79" s="66"/>
      <c r="Y79" s="60"/>
      <c r="Z79" s="61"/>
      <c r="AA79" s="66"/>
      <c r="AB79" s="60"/>
      <c r="AC79" s="61"/>
      <c r="AD79" s="66"/>
      <c r="AE79" s="60"/>
    </row>
    <row r="80" spans="2:31" x14ac:dyDescent="0.25">
      <c r="B80" s="277"/>
      <c r="C80" s="280"/>
      <c r="D80" s="38"/>
      <c r="E80" s="35"/>
      <c r="F80" s="64"/>
      <c r="G80" s="33"/>
      <c r="H80" s="70"/>
      <c r="I80" s="64"/>
      <c r="J80" s="33"/>
      <c r="K80" s="40"/>
      <c r="L80" s="64"/>
      <c r="M80" s="33"/>
      <c r="N80" s="40"/>
      <c r="O80" s="64"/>
      <c r="P80" s="33"/>
      <c r="Q80" s="40"/>
      <c r="R80" s="64"/>
      <c r="S80" s="33"/>
      <c r="T80" s="40"/>
      <c r="U80" s="64"/>
      <c r="V80" s="33"/>
      <c r="W80" s="40"/>
      <c r="X80" s="64"/>
      <c r="Y80" s="33"/>
      <c r="Z80" s="40"/>
      <c r="AA80" s="64"/>
      <c r="AB80" s="33"/>
      <c r="AC80" s="40"/>
      <c r="AD80" s="64"/>
      <c r="AE80" s="33"/>
    </row>
    <row r="81" spans="2:31" x14ac:dyDescent="0.25">
      <c r="B81" s="277"/>
      <c r="C81" s="281"/>
      <c r="D81" s="48"/>
      <c r="E81" s="49"/>
      <c r="F81" s="65"/>
      <c r="G81" s="50"/>
      <c r="H81" s="71"/>
      <c r="I81" s="65"/>
      <c r="J81" s="50"/>
      <c r="K81" s="51"/>
      <c r="L81" s="65"/>
      <c r="M81" s="50"/>
      <c r="N81" s="51"/>
      <c r="O81" s="65"/>
      <c r="P81" s="50"/>
      <c r="Q81" s="51"/>
      <c r="R81" s="65"/>
      <c r="S81" s="50"/>
      <c r="T81" s="51"/>
      <c r="U81" s="65"/>
      <c r="V81" s="50"/>
      <c r="W81" s="51"/>
      <c r="X81" s="65"/>
      <c r="Y81" s="50"/>
      <c r="Z81" s="51"/>
      <c r="AA81" s="65"/>
      <c r="AB81" s="50"/>
      <c r="AC81" s="51"/>
      <c r="AD81" s="65"/>
      <c r="AE81" s="50"/>
    </row>
    <row r="82" spans="2:31" x14ac:dyDescent="0.25">
      <c r="B82" s="277"/>
      <c r="C82" s="282"/>
      <c r="D82" s="42"/>
      <c r="E82" s="43"/>
      <c r="F82" s="63"/>
      <c r="G82" s="44"/>
      <c r="H82" s="72"/>
      <c r="I82" s="63"/>
      <c r="J82" s="44"/>
      <c r="K82" s="45"/>
      <c r="L82" s="63"/>
      <c r="M82" s="44"/>
      <c r="N82" s="45"/>
      <c r="O82" s="63"/>
      <c r="P82" s="44"/>
      <c r="Q82" s="45"/>
      <c r="R82" s="63"/>
      <c r="S82" s="44"/>
      <c r="T82" s="45"/>
      <c r="U82" s="63"/>
      <c r="V82" s="44"/>
      <c r="W82" s="45"/>
      <c r="X82" s="63"/>
      <c r="Y82" s="44"/>
      <c r="Z82" s="45"/>
      <c r="AA82" s="63"/>
      <c r="AB82" s="44"/>
      <c r="AC82" s="45"/>
      <c r="AD82" s="63"/>
      <c r="AE82" s="44"/>
    </row>
    <row r="83" spans="2:31" x14ac:dyDescent="0.25">
      <c r="B83" s="277"/>
      <c r="C83" s="279"/>
      <c r="D83" s="37"/>
      <c r="E83" s="59"/>
      <c r="F83" s="66"/>
      <c r="G83" s="60"/>
      <c r="H83" s="73"/>
      <c r="I83" s="66"/>
      <c r="J83" s="60"/>
      <c r="K83" s="61"/>
      <c r="L83" s="66"/>
      <c r="M83" s="60"/>
      <c r="N83" s="61"/>
      <c r="O83" s="66"/>
      <c r="P83" s="60"/>
      <c r="Q83" s="61"/>
      <c r="R83" s="66"/>
      <c r="S83" s="60"/>
      <c r="T83" s="61"/>
      <c r="U83" s="66"/>
      <c r="V83" s="60"/>
      <c r="W83" s="61"/>
      <c r="X83" s="66"/>
      <c r="Y83" s="60"/>
      <c r="Z83" s="61"/>
      <c r="AA83" s="66"/>
      <c r="AB83" s="60"/>
      <c r="AC83" s="61"/>
      <c r="AD83" s="66"/>
      <c r="AE83" s="60"/>
    </row>
    <row r="84" spans="2:31" x14ac:dyDescent="0.25">
      <c r="B84" s="277"/>
      <c r="C84" s="279"/>
      <c r="D84" s="37"/>
      <c r="E84" s="59"/>
      <c r="F84" s="66"/>
      <c r="G84" s="60"/>
      <c r="H84" s="73"/>
      <c r="I84" s="66"/>
      <c r="J84" s="60"/>
      <c r="K84" s="61"/>
      <c r="L84" s="66"/>
      <c r="M84" s="60"/>
      <c r="N84" s="61"/>
      <c r="O84" s="66"/>
      <c r="P84" s="60"/>
      <c r="Q84" s="61"/>
      <c r="R84" s="66"/>
      <c r="S84" s="60"/>
      <c r="T84" s="61"/>
      <c r="U84" s="66"/>
      <c r="V84" s="60"/>
      <c r="W84" s="61"/>
      <c r="X84" s="66"/>
      <c r="Y84" s="60"/>
      <c r="Z84" s="61"/>
      <c r="AA84" s="66"/>
      <c r="AB84" s="60"/>
      <c r="AC84" s="61"/>
      <c r="AD84" s="66"/>
      <c r="AE84" s="60"/>
    </row>
    <row r="85" spans="2:31" x14ac:dyDescent="0.25">
      <c r="B85" s="277"/>
      <c r="C85" s="279"/>
      <c r="D85" s="37"/>
      <c r="E85" s="59"/>
      <c r="F85" s="66"/>
      <c r="G85" s="60"/>
      <c r="H85" s="73"/>
      <c r="I85" s="66"/>
      <c r="J85" s="60"/>
      <c r="K85" s="61"/>
      <c r="L85" s="66"/>
      <c r="M85" s="60"/>
      <c r="N85" s="61"/>
      <c r="O85" s="66"/>
      <c r="P85" s="60"/>
      <c r="Q85" s="61"/>
      <c r="R85" s="66"/>
      <c r="S85" s="60"/>
      <c r="T85" s="61"/>
      <c r="U85" s="66"/>
      <c r="V85" s="60"/>
      <c r="W85" s="61"/>
      <c r="X85" s="66"/>
      <c r="Y85" s="60"/>
      <c r="Z85" s="61"/>
      <c r="AA85" s="66"/>
      <c r="AB85" s="60"/>
      <c r="AC85" s="61"/>
      <c r="AD85" s="66"/>
      <c r="AE85" s="60"/>
    </row>
    <row r="86" spans="2:31" x14ac:dyDescent="0.25">
      <c r="B86" s="277"/>
      <c r="C86" s="279"/>
      <c r="D86" s="37"/>
      <c r="E86" s="59"/>
      <c r="F86" s="66"/>
      <c r="G86" s="60"/>
      <c r="H86" s="73"/>
      <c r="I86" s="66"/>
      <c r="J86" s="60"/>
      <c r="K86" s="61"/>
      <c r="L86" s="66"/>
      <c r="M86" s="60"/>
      <c r="N86" s="61"/>
      <c r="O86" s="66"/>
      <c r="P86" s="60"/>
      <c r="Q86" s="61"/>
      <c r="R86" s="66"/>
      <c r="S86" s="60"/>
      <c r="T86" s="61"/>
      <c r="U86" s="66"/>
      <c r="V86" s="60"/>
      <c r="W86" s="61"/>
      <c r="X86" s="66"/>
      <c r="Y86" s="60"/>
      <c r="Z86" s="61"/>
      <c r="AA86" s="66"/>
      <c r="AB86" s="60"/>
      <c r="AC86" s="61"/>
      <c r="AD86" s="66"/>
      <c r="AE86" s="60"/>
    </row>
    <row r="87" spans="2:31" x14ac:dyDescent="0.25">
      <c r="B87" s="277"/>
      <c r="C87" s="280"/>
      <c r="D87" s="38"/>
      <c r="E87" s="35"/>
      <c r="F87" s="64"/>
      <c r="G87" s="33"/>
      <c r="H87" s="70"/>
      <c r="I87" s="64"/>
      <c r="J87" s="33"/>
      <c r="K87" s="40"/>
      <c r="L87" s="64"/>
      <c r="M87" s="33"/>
      <c r="N87" s="40"/>
      <c r="O87" s="64"/>
      <c r="P87" s="33"/>
      <c r="Q87" s="40"/>
      <c r="R87" s="64"/>
      <c r="S87" s="33"/>
      <c r="T87" s="40"/>
      <c r="U87" s="64"/>
      <c r="V87" s="33"/>
      <c r="W87" s="40"/>
      <c r="X87" s="64"/>
      <c r="Y87" s="33"/>
      <c r="Z87" s="40"/>
      <c r="AA87" s="64"/>
      <c r="AB87" s="33"/>
      <c r="AC87" s="40"/>
      <c r="AD87" s="64"/>
      <c r="AE87" s="33"/>
    </row>
    <row r="88" spans="2:31" x14ac:dyDescent="0.25">
      <c r="B88" s="277"/>
      <c r="C88" s="280"/>
      <c r="D88" s="38"/>
      <c r="E88" s="35"/>
      <c r="F88" s="64"/>
      <c r="G88" s="33"/>
      <c r="H88" s="70"/>
      <c r="I88" s="64"/>
      <c r="J88" s="33"/>
      <c r="K88" s="40"/>
      <c r="L88" s="64"/>
      <c r="M88" s="33"/>
      <c r="N88" s="40"/>
      <c r="O88" s="64"/>
      <c r="P88" s="33"/>
      <c r="Q88" s="40"/>
      <c r="R88" s="64"/>
      <c r="S88" s="33"/>
      <c r="T88" s="40"/>
      <c r="U88" s="64"/>
      <c r="V88" s="33"/>
      <c r="W88" s="40"/>
      <c r="X88" s="64"/>
      <c r="Y88" s="33"/>
      <c r="Z88" s="40"/>
      <c r="AA88" s="64"/>
      <c r="AB88" s="33"/>
      <c r="AC88" s="40"/>
      <c r="AD88" s="64"/>
      <c r="AE88" s="33"/>
    </row>
    <row r="89" spans="2:31" x14ac:dyDescent="0.25">
      <c r="B89" s="277"/>
      <c r="C89" s="280"/>
      <c r="D89" s="38"/>
      <c r="E89" s="35"/>
      <c r="F89" s="64"/>
      <c r="G89" s="33"/>
      <c r="H89" s="70"/>
      <c r="I89" s="64"/>
      <c r="J89" s="33"/>
      <c r="K89" s="40"/>
      <c r="L89" s="64"/>
      <c r="M89" s="33"/>
      <c r="N89" s="40"/>
      <c r="O89" s="64"/>
      <c r="P89" s="33"/>
      <c r="Q89" s="40"/>
      <c r="R89" s="64"/>
      <c r="S89" s="33"/>
      <c r="T89" s="40"/>
      <c r="U89" s="64"/>
      <c r="V89" s="33"/>
      <c r="W89" s="40"/>
      <c r="X89" s="64"/>
      <c r="Y89" s="33"/>
      <c r="Z89" s="40"/>
      <c r="AA89" s="64"/>
      <c r="AB89" s="33"/>
      <c r="AC89" s="40"/>
      <c r="AD89" s="64"/>
      <c r="AE89" s="33"/>
    </row>
    <row r="90" spans="2:31" x14ac:dyDescent="0.25">
      <c r="B90" s="278"/>
      <c r="C90" s="283"/>
      <c r="D90" s="39"/>
      <c r="E90" s="36"/>
      <c r="F90" s="67"/>
      <c r="G90" s="34"/>
      <c r="H90" s="74"/>
      <c r="I90" s="67"/>
      <c r="J90" s="34"/>
      <c r="K90" s="41"/>
      <c r="L90" s="67"/>
      <c r="M90" s="34"/>
      <c r="N90" s="41"/>
      <c r="O90" s="67"/>
      <c r="P90" s="34"/>
      <c r="Q90" s="41"/>
      <c r="R90" s="67"/>
      <c r="S90" s="34"/>
      <c r="T90" s="41"/>
      <c r="U90" s="67"/>
      <c r="V90" s="34"/>
      <c r="W90" s="41"/>
      <c r="X90" s="67"/>
      <c r="Y90" s="34"/>
      <c r="Z90" s="41"/>
      <c r="AA90" s="67"/>
      <c r="AB90" s="34"/>
      <c r="AC90" s="41"/>
      <c r="AD90" s="67"/>
      <c r="AE90" s="34"/>
    </row>
    <row r="91" spans="2:31" x14ac:dyDescent="0.25">
      <c r="B91" s="276"/>
      <c r="C91" s="279"/>
      <c r="D91" s="37"/>
      <c r="E91" s="43"/>
      <c r="F91" s="63"/>
      <c r="G91" s="44"/>
      <c r="H91" s="72"/>
      <c r="I91" s="63"/>
      <c r="J91" s="44"/>
      <c r="K91" s="43"/>
      <c r="L91" s="63"/>
      <c r="M91" s="44"/>
      <c r="N91" s="45"/>
      <c r="O91" s="63"/>
      <c r="P91" s="44"/>
      <c r="Q91" s="45"/>
      <c r="R91" s="63"/>
      <c r="S91" s="44"/>
      <c r="T91" s="45"/>
      <c r="U91" s="63"/>
      <c r="V91" s="44"/>
      <c r="W91" s="45"/>
      <c r="X91" s="63"/>
      <c r="Y91" s="44"/>
      <c r="Z91" s="45"/>
      <c r="AA91" s="63"/>
      <c r="AB91" s="44"/>
      <c r="AC91" s="45"/>
      <c r="AD91" s="63"/>
      <c r="AE91" s="44"/>
    </row>
    <row r="92" spans="2:31" x14ac:dyDescent="0.25">
      <c r="B92" s="277"/>
      <c r="C92" s="280"/>
      <c r="D92" s="38"/>
      <c r="E92" s="35"/>
      <c r="F92" s="64"/>
      <c r="G92" s="33"/>
      <c r="H92" s="70"/>
      <c r="I92" s="64"/>
      <c r="J92" s="33"/>
      <c r="K92" s="35"/>
      <c r="L92" s="64"/>
      <c r="M92" s="33"/>
      <c r="N92" s="40"/>
      <c r="O92" s="64"/>
      <c r="P92" s="33"/>
      <c r="Q92" s="40"/>
      <c r="R92" s="64"/>
      <c r="S92" s="33"/>
      <c r="T92" s="40"/>
      <c r="U92" s="64"/>
      <c r="V92" s="33"/>
      <c r="W92" s="40"/>
      <c r="X92" s="64"/>
      <c r="Y92" s="33"/>
      <c r="Z92" s="40"/>
      <c r="AA92" s="64"/>
      <c r="AB92" s="33"/>
      <c r="AC92" s="40"/>
      <c r="AD92" s="64"/>
      <c r="AE92" s="33"/>
    </row>
    <row r="93" spans="2:31" x14ac:dyDescent="0.25">
      <c r="B93" s="277"/>
      <c r="C93" s="280"/>
      <c r="D93" s="38"/>
      <c r="E93" s="35"/>
      <c r="F93" s="64"/>
      <c r="G93" s="33"/>
      <c r="H93" s="70"/>
      <c r="I93" s="64"/>
      <c r="J93" s="33"/>
      <c r="K93" s="35"/>
      <c r="L93" s="64"/>
      <c r="M93" s="33"/>
      <c r="N93" s="40"/>
      <c r="O93" s="64"/>
      <c r="P93" s="33"/>
      <c r="Q93" s="40"/>
      <c r="R93" s="64"/>
      <c r="S93" s="33"/>
      <c r="T93" s="40"/>
      <c r="U93" s="64"/>
      <c r="V93" s="33"/>
      <c r="W93" s="40"/>
      <c r="X93" s="64"/>
      <c r="Y93" s="33"/>
      <c r="Z93" s="40"/>
      <c r="AA93" s="64"/>
      <c r="AB93" s="33"/>
      <c r="AC93" s="40"/>
      <c r="AD93" s="64"/>
      <c r="AE93" s="33"/>
    </row>
    <row r="94" spans="2:31" x14ac:dyDescent="0.25">
      <c r="B94" s="277"/>
      <c r="C94" s="280"/>
      <c r="D94" s="38"/>
      <c r="E94" s="35"/>
      <c r="F94" s="64"/>
      <c r="G94" s="33"/>
      <c r="H94" s="70"/>
      <c r="I94" s="64"/>
      <c r="J94" s="33"/>
      <c r="K94" s="35"/>
      <c r="L94" s="64"/>
      <c r="M94" s="33"/>
      <c r="N94" s="40"/>
      <c r="O94" s="64"/>
      <c r="P94" s="33"/>
      <c r="Q94" s="40"/>
      <c r="R94" s="64"/>
      <c r="S94" s="33"/>
      <c r="T94" s="40"/>
      <c r="U94" s="64"/>
      <c r="V94" s="33"/>
      <c r="W94" s="40"/>
      <c r="X94" s="64"/>
      <c r="Y94" s="33"/>
      <c r="Z94" s="40"/>
      <c r="AA94" s="64"/>
      <c r="AB94" s="33"/>
      <c r="AC94" s="40"/>
      <c r="AD94" s="64"/>
      <c r="AE94" s="33"/>
    </row>
    <row r="95" spans="2:31" x14ac:dyDescent="0.25">
      <c r="B95" s="277"/>
      <c r="C95" s="281"/>
      <c r="D95" s="48"/>
      <c r="E95" s="49"/>
      <c r="F95" s="65"/>
      <c r="G95" s="50"/>
      <c r="H95" s="71"/>
      <c r="I95" s="65"/>
      <c r="J95" s="50"/>
      <c r="K95" s="49"/>
      <c r="L95" s="65"/>
      <c r="M95" s="50"/>
      <c r="N95" s="51"/>
      <c r="O95" s="65"/>
      <c r="P95" s="50"/>
      <c r="Q95" s="51"/>
      <c r="R95" s="65"/>
      <c r="S95" s="50"/>
      <c r="T95" s="51"/>
      <c r="U95" s="65"/>
      <c r="V95" s="50"/>
      <c r="W95" s="51"/>
      <c r="X95" s="65"/>
      <c r="Y95" s="50"/>
      <c r="Z95" s="51"/>
      <c r="AA95" s="65"/>
      <c r="AB95" s="50"/>
      <c r="AC95" s="51"/>
      <c r="AD95" s="65"/>
      <c r="AE95" s="50"/>
    </row>
    <row r="96" spans="2:31" x14ac:dyDescent="0.25">
      <c r="B96" s="277"/>
      <c r="C96" s="281"/>
      <c r="D96" s="48"/>
      <c r="E96" s="49"/>
      <c r="F96" s="65"/>
      <c r="G96" s="50"/>
      <c r="H96" s="71"/>
      <c r="I96" s="65"/>
      <c r="J96" s="50"/>
      <c r="K96" s="49"/>
      <c r="L96" s="65"/>
      <c r="M96" s="50"/>
      <c r="N96" s="51"/>
      <c r="O96" s="65"/>
      <c r="P96" s="50"/>
      <c r="Q96" s="51"/>
      <c r="R96" s="65"/>
      <c r="S96" s="50"/>
      <c r="T96" s="51"/>
      <c r="U96" s="65"/>
      <c r="V96" s="50"/>
      <c r="W96" s="51"/>
      <c r="X96" s="65"/>
      <c r="Y96" s="50"/>
      <c r="Z96" s="51"/>
      <c r="AA96" s="65"/>
      <c r="AB96" s="50"/>
      <c r="AC96" s="51"/>
      <c r="AD96" s="65"/>
      <c r="AE96" s="50"/>
    </row>
    <row r="97" spans="2:31" x14ac:dyDescent="0.25">
      <c r="B97" s="277"/>
      <c r="C97" s="281"/>
      <c r="D97" s="48"/>
      <c r="E97" s="49"/>
      <c r="F97" s="65"/>
      <c r="G97" s="50"/>
      <c r="H97" s="71"/>
      <c r="I97" s="65"/>
      <c r="J97" s="50"/>
      <c r="K97" s="49"/>
      <c r="L97" s="65"/>
      <c r="M97" s="50"/>
      <c r="N97" s="51"/>
      <c r="O97" s="65"/>
      <c r="P97" s="50"/>
      <c r="Q97" s="51"/>
      <c r="R97" s="65"/>
      <c r="S97" s="50"/>
      <c r="T97" s="51"/>
      <c r="U97" s="65"/>
      <c r="V97" s="50"/>
      <c r="W97" s="51"/>
      <c r="X97" s="65"/>
      <c r="Y97" s="50"/>
      <c r="Z97" s="51"/>
      <c r="AA97" s="65"/>
      <c r="AB97" s="50"/>
      <c r="AC97" s="51"/>
      <c r="AD97" s="65"/>
      <c r="AE97" s="50"/>
    </row>
    <row r="98" spans="2:31" x14ac:dyDescent="0.25">
      <c r="B98" s="277"/>
      <c r="C98" s="281"/>
      <c r="D98" s="48"/>
      <c r="E98" s="49"/>
      <c r="F98" s="65"/>
      <c r="G98" s="50"/>
      <c r="H98" s="71"/>
      <c r="I98" s="65"/>
      <c r="J98" s="50"/>
      <c r="K98" s="49"/>
      <c r="L98" s="65"/>
      <c r="M98" s="50"/>
      <c r="N98" s="51"/>
      <c r="O98" s="65"/>
      <c r="P98" s="50"/>
      <c r="Q98" s="51"/>
      <c r="R98" s="65"/>
      <c r="S98" s="50"/>
      <c r="T98" s="51"/>
      <c r="U98" s="65"/>
      <c r="V98" s="50"/>
      <c r="W98" s="51"/>
      <c r="X98" s="65"/>
      <c r="Y98" s="50"/>
      <c r="Z98" s="51"/>
      <c r="AA98" s="65"/>
      <c r="AB98" s="50"/>
      <c r="AC98" s="51"/>
      <c r="AD98" s="65"/>
      <c r="AE98" s="50"/>
    </row>
    <row r="99" spans="2:31" x14ac:dyDescent="0.25">
      <c r="B99" s="277"/>
      <c r="C99" s="281"/>
      <c r="D99" s="48"/>
      <c r="E99" s="49"/>
      <c r="F99" s="65"/>
      <c r="G99" s="50"/>
      <c r="H99" s="71"/>
      <c r="I99" s="65"/>
      <c r="J99" s="50"/>
      <c r="K99" s="49"/>
      <c r="L99" s="65"/>
      <c r="M99" s="50"/>
      <c r="N99" s="51"/>
      <c r="O99" s="65"/>
      <c r="P99" s="50"/>
      <c r="Q99" s="51"/>
      <c r="R99" s="65"/>
      <c r="S99" s="50"/>
      <c r="T99" s="51"/>
      <c r="U99" s="65"/>
      <c r="V99" s="50"/>
      <c r="W99" s="51"/>
      <c r="X99" s="65"/>
      <c r="Y99" s="50"/>
      <c r="Z99" s="51"/>
      <c r="AA99" s="65"/>
      <c r="AB99" s="50"/>
      <c r="AC99" s="51"/>
      <c r="AD99" s="65"/>
      <c r="AE99" s="50"/>
    </row>
    <row r="100" spans="2:31" x14ac:dyDescent="0.25">
      <c r="B100" s="277"/>
      <c r="C100" s="282"/>
      <c r="D100" s="42"/>
      <c r="E100" s="43"/>
      <c r="F100" s="63"/>
      <c r="G100" s="44"/>
      <c r="H100" s="72"/>
      <c r="I100" s="63"/>
      <c r="J100" s="44"/>
      <c r="K100" s="45"/>
      <c r="L100" s="63"/>
      <c r="M100" s="44"/>
      <c r="N100" s="45"/>
      <c r="O100" s="63"/>
      <c r="P100" s="44"/>
      <c r="Q100" s="45"/>
      <c r="R100" s="63"/>
      <c r="S100" s="44"/>
      <c r="T100" s="45"/>
      <c r="U100" s="63"/>
      <c r="V100" s="44"/>
      <c r="W100" s="45"/>
      <c r="X100" s="63"/>
      <c r="Y100" s="44"/>
      <c r="Z100" s="45"/>
      <c r="AA100" s="63"/>
      <c r="AB100" s="44"/>
      <c r="AC100" s="45"/>
      <c r="AD100" s="63"/>
      <c r="AE100" s="44"/>
    </row>
    <row r="101" spans="2:31" x14ac:dyDescent="0.25">
      <c r="B101" s="277"/>
      <c r="C101" s="279"/>
      <c r="D101" s="37"/>
      <c r="E101" s="59"/>
      <c r="F101" s="66"/>
      <c r="G101" s="60"/>
      <c r="H101" s="73"/>
      <c r="I101" s="66"/>
      <c r="J101" s="60"/>
      <c r="K101" s="61"/>
      <c r="L101" s="66"/>
      <c r="M101" s="60"/>
      <c r="N101" s="61"/>
      <c r="O101" s="66"/>
      <c r="P101" s="60"/>
      <c r="Q101" s="61"/>
      <c r="R101" s="66"/>
      <c r="S101" s="60"/>
      <c r="T101" s="61"/>
      <c r="U101" s="66"/>
      <c r="V101" s="60"/>
      <c r="W101" s="61"/>
      <c r="X101" s="66"/>
      <c r="Y101" s="60"/>
      <c r="Z101" s="61"/>
      <c r="AA101" s="66"/>
      <c r="AB101" s="60"/>
      <c r="AC101" s="61"/>
      <c r="AD101" s="66"/>
      <c r="AE101" s="60"/>
    </row>
    <row r="102" spans="2:31" x14ac:dyDescent="0.25">
      <c r="B102" s="277"/>
      <c r="C102" s="279"/>
      <c r="D102" s="37"/>
      <c r="E102" s="59"/>
      <c r="F102" s="66"/>
      <c r="G102" s="60"/>
      <c r="H102" s="73"/>
      <c r="I102" s="66"/>
      <c r="J102" s="60"/>
      <c r="K102" s="61"/>
      <c r="L102" s="66"/>
      <c r="M102" s="60"/>
      <c r="N102" s="61"/>
      <c r="O102" s="66"/>
      <c r="P102" s="60"/>
      <c r="Q102" s="61"/>
      <c r="R102" s="66"/>
      <c r="S102" s="60"/>
      <c r="T102" s="61"/>
      <c r="U102" s="66"/>
      <c r="V102" s="60"/>
      <c r="W102" s="61"/>
      <c r="X102" s="66"/>
      <c r="Y102" s="60"/>
      <c r="Z102" s="61"/>
      <c r="AA102" s="66"/>
      <c r="AB102" s="60"/>
      <c r="AC102" s="61"/>
      <c r="AD102" s="66"/>
      <c r="AE102" s="60"/>
    </row>
    <row r="103" spans="2:31" x14ac:dyDescent="0.25">
      <c r="B103" s="277"/>
      <c r="C103" s="279"/>
      <c r="D103" s="37"/>
      <c r="E103" s="59"/>
      <c r="F103" s="66"/>
      <c r="G103" s="60"/>
      <c r="H103" s="73"/>
      <c r="I103" s="66"/>
      <c r="J103" s="60"/>
      <c r="K103" s="61"/>
      <c r="L103" s="66"/>
      <c r="M103" s="60"/>
      <c r="N103" s="61"/>
      <c r="O103" s="66"/>
      <c r="P103" s="60"/>
      <c r="Q103" s="61"/>
      <c r="R103" s="66"/>
      <c r="S103" s="60"/>
      <c r="T103" s="61"/>
      <c r="U103" s="66"/>
      <c r="V103" s="60"/>
      <c r="W103" s="61"/>
      <c r="X103" s="66"/>
      <c r="Y103" s="60"/>
      <c r="Z103" s="61"/>
      <c r="AA103" s="66"/>
      <c r="AB103" s="60"/>
      <c r="AC103" s="61"/>
      <c r="AD103" s="66"/>
      <c r="AE103" s="60"/>
    </row>
    <row r="104" spans="2:31" x14ac:dyDescent="0.25">
      <c r="B104" s="277"/>
      <c r="C104" s="279"/>
      <c r="D104" s="37"/>
      <c r="E104" s="59"/>
      <c r="F104" s="66"/>
      <c r="G104" s="60"/>
      <c r="H104" s="73"/>
      <c r="I104" s="66"/>
      <c r="J104" s="60"/>
      <c r="K104" s="61"/>
      <c r="L104" s="66"/>
      <c r="M104" s="60"/>
      <c r="N104" s="61"/>
      <c r="O104" s="66"/>
      <c r="P104" s="60"/>
      <c r="Q104" s="61"/>
      <c r="R104" s="66"/>
      <c r="S104" s="60"/>
      <c r="T104" s="61"/>
      <c r="U104" s="66"/>
      <c r="V104" s="60"/>
      <c r="W104" s="61"/>
      <c r="X104" s="66"/>
      <c r="Y104" s="60"/>
      <c r="Z104" s="61"/>
      <c r="AA104" s="66"/>
      <c r="AB104" s="60"/>
      <c r="AC104" s="61"/>
      <c r="AD104" s="66"/>
      <c r="AE104" s="60"/>
    </row>
    <row r="105" spans="2:31" x14ac:dyDescent="0.25">
      <c r="B105" s="277"/>
      <c r="C105" s="279"/>
      <c r="D105" s="37"/>
      <c r="E105" s="59"/>
      <c r="F105" s="66"/>
      <c r="G105" s="60"/>
      <c r="H105" s="73"/>
      <c r="I105" s="66"/>
      <c r="J105" s="60"/>
      <c r="K105" s="61"/>
      <c r="L105" s="66"/>
      <c r="M105" s="60"/>
      <c r="N105" s="61"/>
      <c r="O105" s="66"/>
      <c r="P105" s="60"/>
      <c r="Q105" s="61"/>
      <c r="R105" s="66"/>
      <c r="S105" s="60"/>
      <c r="T105" s="61"/>
      <c r="U105" s="66"/>
      <c r="V105" s="60"/>
      <c r="W105" s="61"/>
      <c r="X105" s="66"/>
      <c r="Y105" s="60"/>
      <c r="Z105" s="61"/>
      <c r="AA105" s="66"/>
      <c r="AB105" s="60"/>
      <c r="AC105" s="61"/>
      <c r="AD105" s="66"/>
      <c r="AE105" s="60"/>
    </row>
    <row r="106" spans="2:31" x14ac:dyDescent="0.25">
      <c r="B106" s="277"/>
      <c r="C106" s="279"/>
      <c r="D106" s="37"/>
      <c r="E106" s="59"/>
      <c r="F106" s="66"/>
      <c r="G106" s="60"/>
      <c r="H106" s="73"/>
      <c r="I106" s="66"/>
      <c r="J106" s="60"/>
      <c r="K106" s="61"/>
      <c r="L106" s="66"/>
      <c r="M106" s="60"/>
      <c r="N106" s="61"/>
      <c r="O106" s="66"/>
      <c r="P106" s="60"/>
      <c r="Q106" s="61"/>
      <c r="R106" s="66"/>
      <c r="S106" s="60"/>
      <c r="T106" s="61"/>
      <c r="U106" s="66"/>
      <c r="V106" s="60"/>
      <c r="W106" s="61"/>
      <c r="X106" s="66"/>
      <c r="Y106" s="60"/>
      <c r="Z106" s="61"/>
      <c r="AA106" s="66"/>
      <c r="AB106" s="60"/>
      <c r="AC106" s="61"/>
      <c r="AD106" s="66"/>
      <c r="AE106" s="60"/>
    </row>
    <row r="107" spans="2:31" x14ac:dyDescent="0.25">
      <c r="B107" s="277"/>
      <c r="C107" s="280"/>
      <c r="D107" s="38"/>
      <c r="E107" s="35"/>
      <c r="F107" s="64"/>
      <c r="G107" s="33"/>
      <c r="H107" s="70"/>
      <c r="I107" s="64"/>
      <c r="J107" s="33"/>
      <c r="K107" s="40"/>
      <c r="L107" s="64"/>
      <c r="M107" s="33"/>
      <c r="N107" s="40"/>
      <c r="O107" s="64"/>
      <c r="P107" s="33"/>
      <c r="Q107" s="40"/>
      <c r="R107" s="64"/>
      <c r="S107" s="33"/>
      <c r="T107" s="40"/>
      <c r="U107" s="64"/>
      <c r="V107" s="33"/>
      <c r="W107" s="40"/>
      <c r="X107" s="64"/>
      <c r="Y107" s="33"/>
      <c r="Z107" s="40"/>
      <c r="AA107" s="64"/>
      <c r="AB107" s="33"/>
      <c r="AC107" s="40"/>
      <c r="AD107" s="64"/>
      <c r="AE107" s="33"/>
    </row>
    <row r="108" spans="2:31" x14ac:dyDescent="0.25">
      <c r="B108" s="277"/>
      <c r="C108" s="281"/>
      <c r="D108" s="48"/>
      <c r="E108" s="49"/>
      <c r="F108" s="65"/>
      <c r="G108" s="50"/>
      <c r="H108" s="71"/>
      <c r="I108" s="65"/>
      <c r="J108" s="50"/>
      <c r="K108" s="51"/>
      <c r="L108" s="65"/>
      <c r="M108" s="50"/>
      <c r="N108" s="51"/>
      <c r="O108" s="65"/>
      <c r="P108" s="50"/>
      <c r="Q108" s="51"/>
      <c r="R108" s="65"/>
      <c r="S108" s="50"/>
      <c r="T108" s="51"/>
      <c r="U108" s="65"/>
      <c r="V108" s="50"/>
      <c r="W108" s="51"/>
      <c r="X108" s="65"/>
      <c r="Y108" s="50"/>
      <c r="Z108" s="51"/>
      <c r="AA108" s="65"/>
      <c r="AB108" s="50"/>
      <c r="AC108" s="51"/>
      <c r="AD108" s="65"/>
      <c r="AE108" s="50"/>
    </row>
    <row r="109" spans="2:31" x14ac:dyDescent="0.25">
      <c r="B109" s="277"/>
      <c r="C109" s="282"/>
      <c r="D109" s="42"/>
      <c r="E109" s="43"/>
      <c r="F109" s="63"/>
      <c r="G109" s="44"/>
      <c r="H109" s="72"/>
      <c r="I109" s="63"/>
      <c r="J109" s="44"/>
      <c r="K109" s="45"/>
      <c r="L109" s="63"/>
      <c r="M109" s="44"/>
      <c r="N109" s="45"/>
      <c r="O109" s="63"/>
      <c r="P109" s="44"/>
      <c r="Q109" s="45"/>
      <c r="R109" s="63"/>
      <c r="S109" s="44"/>
      <c r="T109" s="45"/>
      <c r="U109" s="63"/>
      <c r="V109" s="44"/>
      <c r="W109" s="45"/>
      <c r="X109" s="63"/>
      <c r="Y109" s="44"/>
      <c r="Z109" s="45"/>
      <c r="AA109" s="63"/>
      <c r="AB109" s="44"/>
      <c r="AC109" s="45"/>
      <c r="AD109" s="63"/>
      <c r="AE109" s="44"/>
    </row>
    <row r="110" spans="2:31" x14ac:dyDescent="0.25">
      <c r="B110" s="277"/>
      <c r="C110" s="279"/>
      <c r="D110" s="37"/>
      <c r="E110" s="59"/>
      <c r="F110" s="66"/>
      <c r="G110" s="60"/>
      <c r="H110" s="73"/>
      <c r="I110" s="66"/>
      <c r="J110" s="60"/>
      <c r="K110" s="61"/>
      <c r="L110" s="66"/>
      <c r="M110" s="60"/>
      <c r="N110" s="61"/>
      <c r="O110" s="66"/>
      <c r="P110" s="60"/>
      <c r="Q110" s="61"/>
      <c r="R110" s="66"/>
      <c r="S110" s="60"/>
      <c r="T110" s="61"/>
      <c r="U110" s="66"/>
      <c r="V110" s="60"/>
      <c r="W110" s="61"/>
      <c r="X110" s="66"/>
      <c r="Y110" s="60"/>
      <c r="Z110" s="61"/>
      <c r="AA110" s="66"/>
      <c r="AB110" s="60"/>
      <c r="AC110" s="61"/>
      <c r="AD110" s="66"/>
      <c r="AE110" s="60"/>
    </row>
    <row r="111" spans="2:31" x14ac:dyDescent="0.25">
      <c r="B111" s="277"/>
      <c r="C111" s="279"/>
      <c r="D111" s="37"/>
      <c r="E111" s="59"/>
      <c r="F111" s="66"/>
      <c r="G111" s="60"/>
      <c r="H111" s="73"/>
      <c r="I111" s="66"/>
      <c r="J111" s="60"/>
      <c r="K111" s="61"/>
      <c r="L111" s="66"/>
      <c r="M111" s="60"/>
      <c r="N111" s="61"/>
      <c r="O111" s="66"/>
      <c r="P111" s="60"/>
      <c r="Q111" s="61"/>
      <c r="R111" s="66"/>
      <c r="S111" s="60"/>
      <c r="T111" s="61"/>
      <c r="U111" s="66"/>
      <c r="V111" s="60"/>
      <c r="W111" s="61"/>
      <c r="X111" s="66"/>
      <c r="Y111" s="60"/>
      <c r="Z111" s="61"/>
      <c r="AA111" s="66"/>
      <c r="AB111" s="60"/>
      <c r="AC111" s="61"/>
      <c r="AD111" s="66"/>
      <c r="AE111" s="60"/>
    </row>
    <row r="112" spans="2:31" x14ac:dyDescent="0.25">
      <c r="B112" s="277"/>
      <c r="C112" s="279"/>
      <c r="D112" s="37"/>
      <c r="E112" s="59"/>
      <c r="F112" s="66"/>
      <c r="G112" s="60"/>
      <c r="H112" s="73"/>
      <c r="I112" s="66"/>
      <c r="J112" s="60"/>
      <c r="K112" s="61"/>
      <c r="L112" s="66"/>
      <c r="M112" s="60"/>
      <c r="N112" s="61"/>
      <c r="O112" s="66"/>
      <c r="P112" s="60"/>
      <c r="Q112" s="61"/>
      <c r="R112" s="66"/>
      <c r="S112" s="60"/>
      <c r="T112" s="61"/>
      <c r="U112" s="66"/>
      <c r="V112" s="60"/>
      <c r="W112" s="61"/>
      <c r="X112" s="66"/>
      <c r="Y112" s="60"/>
      <c r="Z112" s="61"/>
      <c r="AA112" s="66"/>
      <c r="AB112" s="60"/>
      <c r="AC112" s="61"/>
      <c r="AD112" s="66"/>
      <c r="AE112" s="60"/>
    </row>
    <row r="113" spans="2:31" x14ac:dyDescent="0.25">
      <c r="B113" s="277"/>
      <c r="C113" s="279"/>
      <c r="D113" s="37"/>
      <c r="E113" s="59"/>
      <c r="F113" s="66"/>
      <c r="G113" s="60"/>
      <c r="H113" s="73"/>
      <c r="I113" s="66"/>
      <c r="J113" s="60"/>
      <c r="K113" s="61"/>
      <c r="L113" s="66"/>
      <c r="M113" s="60"/>
      <c r="N113" s="61"/>
      <c r="O113" s="66"/>
      <c r="P113" s="60"/>
      <c r="Q113" s="61"/>
      <c r="R113" s="66"/>
      <c r="S113" s="60"/>
      <c r="T113" s="61"/>
      <c r="U113" s="66"/>
      <c r="V113" s="60"/>
      <c r="W113" s="61"/>
      <c r="X113" s="66"/>
      <c r="Y113" s="60"/>
      <c r="Z113" s="61"/>
      <c r="AA113" s="66"/>
      <c r="AB113" s="60"/>
      <c r="AC113" s="61"/>
      <c r="AD113" s="66"/>
      <c r="AE113" s="60"/>
    </row>
    <row r="114" spans="2:31" x14ac:dyDescent="0.25">
      <c r="B114" s="277"/>
      <c r="C114" s="280"/>
      <c r="D114" s="38"/>
      <c r="E114" s="35"/>
      <c r="F114" s="64"/>
      <c r="G114" s="33"/>
      <c r="H114" s="70"/>
      <c r="I114" s="64"/>
      <c r="J114" s="33"/>
      <c r="K114" s="40"/>
      <c r="L114" s="64"/>
      <c r="M114" s="33"/>
      <c r="N114" s="40"/>
      <c r="O114" s="64"/>
      <c r="P114" s="33"/>
      <c r="Q114" s="40"/>
      <c r="R114" s="64"/>
      <c r="S114" s="33"/>
      <c r="T114" s="40"/>
      <c r="U114" s="64"/>
      <c r="V114" s="33"/>
      <c r="W114" s="40"/>
      <c r="X114" s="64"/>
      <c r="Y114" s="33"/>
      <c r="Z114" s="40"/>
      <c r="AA114" s="64"/>
      <c r="AB114" s="33"/>
      <c r="AC114" s="40"/>
      <c r="AD114" s="64"/>
      <c r="AE114" s="33"/>
    </row>
    <row r="115" spans="2:31" x14ac:dyDescent="0.25">
      <c r="B115" s="277"/>
      <c r="C115" s="280"/>
      <c r="D115" s="38"/>
      <c r="E115" s="35"/>
      <c r="F115" s="64"/>
      <c r="G115" s="33"/>
      <c r="H115" s="70"/>
      <c r="I115" s="64"/>
      <c r="J115" s="33"/>
      <c r="K115" s="40"/>
      <c r="L115" s="64"/>
      <c r="M115" s="33"/>
      <c r="N115" s="40"/>
      <c r="O115" s="64"/>
      <c r="P115" s="33"/>
      <c r="Q115" s="40"/>
      <c r="R115" s="64"/>
      <c r="S115" s="33"/>
      <c r="T115" s="40"/>
      <c r="U115" s="64"/>
      <c r="V115" s="33"/>
      <c r="W115" s="40"/>
      <c r="X115" s="64"/>
      <c r="Y115" s="33"/>
      <c r="Z115" s="40"/>
      <c r="AA115" s="64"/>
      <c r="AB115" s="33"/>
      <c r="AC115" s="40"/>
      <c r="AD115" s="64"/>
      <c r="AE115" s="33"/>
    </row>
    <row r="116" spans="2:31" x14ac:dyDescent="0.25">
      <c r="B116" s="277"/>
      <c r="C116" s="280"/>
      <c r="D116" s="38"/>
      <c r="E116" s="35"/>
      <c r="F116" s="64"/>
      <c r="G116" s="33"/>
      <c r="H116" s="70"/>
      <c r="I116" s="64"/>
      <c r="J116" s="33"/>
      <c r="K116" s="40"/>
      <c r="L116" s="64"/>
      <c r="M116" s="33"/>
      <c r="N116" s="40"/>
      <c r="O116" s="64"/>
      <c r="P116" s="33"/>
      <c r="Q116" s="40"/>
      <c r="R116" s="64"/>
      <c r="S116" s="33"/>
      <c r="T116" s="40"/>
      <c r="U116" s="64"/>
      <c r="V116" s="33"/>
      <c r="W116" s="40"/>
      <c r="X116" s="64"/>
      <c r="Y116" s="33"/>
      <c r="Z116" s="40"/>
      <c r="AA116" s="64"/>
      <c r="AB116" s="33"/>
      <c r="AC116" s="40"/>
      <c r="AD116" s="64"/>
      <c r="AE116" s="33"/>
    </row>
    <row r="117" spans="2:31" x14ac:dyDescent="0.25">
      <c r="B117" s="278"/>
      <c r="C117" s="283"/>
      <c r="D117" s="39"/>
      <c r="E117" s="36"/>
      <c r="F117" s="67"/>
      <c r="G117" s="34"/>
      <c r="H117" s="74"/>
      <c r="I117" s="67"/>
      <c r="J117" s="34"/>
      <c r="K117" s="41"/>
      <c r="L117" s="67"/>
      <c r="M117" s="34"/>
      <c r="N117" s="41"/>
      <c r="O117" s="67"/>
      <c r="P117" s="34"/>
      <c r="Q117" s="41"/>
      <c r="R117" s="67"/>
      <c r="S117" s="34"/>
      <c r="T117" s="41"/>
      <c r="U117" s="67"/>
      <c r="V117" s="34"/>
      <c r="W117" s="41"/>
      <c r="X117" s="67"/>
      <c r="Y117" s="34"/>
      <c r="Z117" s="41"/>
      <c r="AA117" s="67"/>
      <c r="AB117" s="34"/>
      <c r="AC117" s="41"/>
      <c r="AD117" s="67"/>
      <c r="AE117" s="34"/>
    </row>
  </sheetData>
  <mergeCells count="27">
    <mergeCell ref="B91:B117"/>
    <mergeCell ref="C91:C99"/>
    <mergeCell ref="C100:C108"/>
    <mergeCell ref="C109:C117"/>
    <mergeCell ref="Q8:S8"/>
    <mergeCell ref="B64:B90"/>
    <mergeCell ref="C64:C72"/>
    <mergeCell ref="C73:C81"/>
    <mergeCell ref="C82:C90"/>
    <mergeCell ref="B8:D8"/>
    <mergeCell ref="E8:G8"/>
    <mergeCell ref="H8:J8"/>
    <mergeCell ref="C9:D9"/>
    <mergeCell ref="B10:B36"/>
    <mergeCell ref="C10:C18"/>
    <mergeCell ref="C19:C27"/>
    <mergeCell ref="AC8:AE8"/>
    <mergeCell ref="T8:V8"/>
    <mergeCell ref="W8:Y8"/>
    <mergeCell ref="Z8:AB8"/>
    <mergeCell ref="B37:B63"/>
    <mergeCell ref="C37:C45"/>
    <mergeCell ref="C46:C54"/>
    <mergeCell ref="C55:C63"/>
    <mergeCell ref="K8:M8"/>
    <mergeCell ref="N8:P8"/>
    <mergeCell ref="C28:C36"/>
  </mergeCells>
  <conditionalFormatting sqref="E10:AE117">
    <cfRule type="cellIs" dxfId="32" priority="1" operator="equal">
      <formula>0</formula>
    </cfRule>
    <cfRule type="cellIs" dxfId="31" priority="2" operator="equal">
      <formula>"No value"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EE4-F4C2-4F00-9BB7-3791F22B6B80}">
  <dimension ref="B2:C23"/>
  <sheetViews>
    <sheetView workbookViewId="0">
      <selection activeCell="M23" sqref="M23"/>
    </sheetView>
  </sheetViews>
  <sheetFormatPr defaultColWidth="11.42578125" defaultRowHeight="15" x14ac:dyDescent="0.25"/>
  <cols>
    <col min="2" max="2" width="13.42578125" customWidth="1"/>
    <col min="3" max="3" width="13.5703125" customWidth="1"/>
  </cols>
  <sheetData>
    <row r="2" spans="2:3" s="120" customFormat="1" x14ac:dyDescent="0.25">
      <c r="B2" s="289" t="s">
        <v>167</v>
      </c>
      <c r="C2" s="289"/>
    </row>
    <row r="3" spans="2:3" ht="45" x14ac:dyDescent="0.25">
      <c r="B3" s="119" t="s">
        <v>168</v>
      </c>
      <c r="C3" s="119" t="s">
        <v>169</v>
      </c>
    </row>
    <row r="4" spans="2:3" x14ac:dyDescent="0.25">
      <c r="B4" s="68">
        <v>-20</v>
      </c>
      <c r="C4" s="68">
        <v>15</v>
      </c>
    </row>
    <row r="5" spans="2:3" x14ac:dyDescent="0.25">
      <c r="B5" s="68">
        <v>0</v>
      </c>
      <c r="C5" s="68">
        <v>15</v>
      </c>
    </row>
    <row r="6" spans="2:3" x14ac:dyDescent="0.25">
      <c r="B6" s="68">
        <v>45</v>
      </c>
      <c r="C6" s="68">
        <v>20</v>
      </c>
    </row>
    <row r="7" spans="2:3" x14ac:dyDescent="0.25">
      <c r="B7" s="68">
        <v>45</v>
      </c>
      <c r="C7" s="68">
        <v>70</v>
      </c>
    </row>
    <row r="8" spans="2:3" x14ac:dyDescent="0.25">
      <c r="B8" s="68">
        <v>0</v>
      </c>
      <c r="C8" s="68">
        <v>70</v>
      </c>
    </row>
    <row r="9" spans="2:3" x14ac:dyDescent="0.25">
      <c r="B9" s="68">
        <v>-20</v>
      </c>
      <c r="C9" s="68">
        <v>65</v>
      </c>
    </row>
    <row r="10" spans="2:3" x14ac:dyDescent="0.25">
      <c r="B10" s="68">
        <v>-20</v>
      </c>
      <c r="C10" s="68">
        <v>15</v>
      </c>
    </row>
    <row r="17" spans="2:3" x14ac:dyDescent="0.25">
      <c r="B17" s="289" t="s">
        <v>170</v>
      </c>
      <c r="C17" s="289"/>
    </row>
    <row r="18" spans="2:3" ht="45" x14ac:dyDescent="0.25">
      <c r="B18" s="119" t="s">
        <v>168</v>
      </c>
      <c r="C18" s="119" t="s">
        <v>171</v>
      </c>
    </row>
    <row r="19" spans="2:3" x14ac:dyDescent="0.25">
      <c r="B19" s="68">
        <v>20</v>
      </c>
      <c r="C19" s="68">
        <v>25</v>
      </c>
    </row>
    <row r="20" spans="2:3" x14ac:dyDescent="0.25">
      <c r="B20" s="68">
        <v>20</v>
      </c>
      <c r="C20" s="68">
        <v>7</v>
      </c>
    </row>
    <row r="21" spans="2:3" x14ac:dyDescent="0.25">
      <c r="B21" s="68">
        <v>45</v>
      </c>
      <c r="C21" s="68">
        <v>7</v>
      </c>
    </row>
    <row r="22" spans="2:3" x14ac:dyDescent="0.25">
      <c r="B22" s="68">
        <v>45</v>
      </c>
      <c r="C22" s="68">
        <v>25</v>
      </c>
    </row>
    <row r="23" spans="2:3" x14ac:dyDescent="0.25">
      <c r="B23" s="68">
        <v>20</v>
      </c>
      <c r="C23" s="68">
        <v>25</v>
      </c>
    </row>
  </sheetData>
  <mergeCells count="2">
    <mergeCell ref="B2:C2"/>
    <mergeCell ref="B17:C1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9CB9-0526-452E-9FEF-DD9078798996}">
  <dimension ref="A1:M609"/>
  <sheetViews>
    <sheetView zoomScale="115" zoomScaleNormal="115" workbookViewId="0">
      <pane ySplit="1" topLeftCell="A2" activePane="bottomLeft" state="frozen"/>
      <selection pane="bottomLeft" activeCell="A3" sqref="A3"/>
    </sheetView>
  </sheetViews>
  <sheetFormatPr defaultColWidth="11.42578125" defaultRowHeight="15" customHeight="1" x14ac:dyDescent="0.25"/>
  <cols>
    <col min="1" max="1" width="12.85546875" bestFit="1" customWidth="1"/>
    <col min="2" max="2" width="12.85546875" customWidth="1"/>
    <col min="3" max="3" width="9.140625" style="92" customWidth="1"/>
    <col min="4" max="4" width="10.42578125" style="92" customWidth="1"/>
    <col min="5" max="5" width="14.5703125" style="68" customWidth="1"/>
    <col min="6" max="6" width="15.5703125" style="68" customWidth="1"/>
    <col min="7" max="7" width="11.42578125" style="68" bestFit="1" customWidth="1"/>
    <col min="8" max="9" width="11.42578125" style="68" customWidth="1"/>
    <col min="10" max="10" width="16.85546875" style="68" bestFit="1" customWidth="1"/>
    <col min="11" max="11" width="13.5703125" customWidth="1"/>
    <col min="12" max="12" width="18.5703125" customWidth="1"/>
    <col min="13" max="13" width="45.140625" customWidth="1"/>
  </cols>
  <sheetData>
    <row r="1" spans="1:13" ht="30" x14ac:dyDescent="0.25">
      <c r="A1" s="187" t="s">
        <v>7</v>
      </c>
      <c r="B1" s="187" t="s">
        <v>172</v>
      </c>
      <c r="C1" s="188" t="s">
        <v>173</v>
      </c>
      <c r="D1" s="188" t="s">
        <v>174</v>
      </c>
      <c r="E1" s="187" t="s">
        <v>162</v>
      </c>
      <c r="F1" s="187" t="s">
        <v>163</v>
      </c>
      <c r="G1" s="187" t="s">
        <v>175</v>
      </c>
      <c r="H1" s="187" t="s">
        <v>176</v>
      </c>
      <c r="I1" s="187" t="s">
        <v>177</v>
      </c>
      <c r="J1" s="187" t="s">
        <v>178</v>
      </c>
      <c r="K1" s="187" t="s">
        <v>36</v>
      </c>
      <c r="L1" s="187" t="s">
        <v>179</v>
      </c>
      <c r="M1" s="187" t="s">
        <v>180</v>
      </c>
    </row>
    <row r="2" spans="1:13" x14ac:dyDescent="0.25">
      <c r="A2" t="s">
        <v>23</v>
      </c>
      <c r="B2" s="68" t="s">
        <v>166</v>
      </c>
      <c r="C2" s="92">
        <v>-20</v>
      </c>
      <c r="D2" s="68">
        <v>25</v>
      </c>
      <c r="E2" s="69">
        <v>1.3162750000000001</v>
      </c>
      <c r="F2" s="69">
        <v>0.56229600000000002</v>
      </c>
      <c r="G2" s="69">
        <v>2.3408929999999999</v>
      </c>
      <c r="H2" s="69">
        <v>0.432</v>
      </c>
      <c r="I2" s="69" t="s">
        <v>181</v>
      </c>
      <c r="J2" s="69" t="s">
        <v>38</v>
      </c>
      <c r="K2" s="212" t="s">
        <v>48</v>
      </c>
      <c r="L2" s="186"/>
      <c r="M2" s="69" t="str">
        <f>CapacityTable[[#This Row],[Model]]&amp;CapacityTable[[#This Row],[Type]]&amp;CapacityTable[[#This Row],[T ext]]&amp;CapacityTable[[#This Row],[T water out]]&amp;CapacityTable[[#This Row],[Results origin]]</f>
        <v>BLW Mono 6.1Min power-2025Simulation values</v>
      </c>
    </row>
    <row r="3" spans="1:13" x14ac:dyDescent="0.25">
      <c r="A3" t="s">
        <v>23</v>
      </c>
      <c r="B3" s="68" t="s">
        <v>166</v>
      </c>
      <c r="C3" s="92">
        <v>-20</v>
      </c>
      <c r="D3" s="68">
        <v>35</v>
      </c>
      <c r="E3" s="69">
        <v>1.188742</v>
      </c>
      <c r="F3" s="69">
        <v>0.674956</v>
      </c>
      <c r="G3" s="69">
        <v>1.7612140000000001</v>
      </c>
      <c r="H3" s="69">
        <v>0.432</v>
      </c>
      <c r="I3" s="69" t="s">
        <v>181</v>
      </c>
      <c r="J3" s="69" t="s">
        <v>38</v>
      </c>
      <c r="K3" s="212" t="s">
        <v>48</v>
      </c>
      <c r="L3" s="69"/>
      <c r="M3" s="69" t="str">
        <f>CapacityTable[[#This Row],[Model]]&amp;CapacityTable[[#This Row],[Type]]&amp;CapacityTable[[#This Row],[T ext]]&amp;CapacityTable[[#This Row],[T water out]]&amp;CapacityTable[[#This Row],[Results origin]]</f>
        <v>BLW Mono 6.1Min power-2035Simulation values</v>
      </c>
    </row>
    <row r="4" spans="1:13" x14ac:dyDescent="0.25">
      <c r="A4" t="s">
        <v>23</v>
      </c>
      <c r="B4" s="68" t="s">
        <v>166</v>
      </c>
      <c r="C4" s="92">
        <v>-20</v>
      </c>
      <c r="D4" s="68">
        <v>40</v>
      </c>
      <c r="E4" s="69">
        <v>1.1537980000000001</v>
      </c>
      <c r="F4" s="69">
        <v>0.72745199999999999</v>
      </c>
      <c r="G4" s="69">
        <v>1.586082</v>
      </c>
      <c r="H4" s="69">
        <v>0.432</v>
      </c>
      <c r="I4" s="69" t="s">
        <v>181</v>
      </c>
      <c r="J4" s="69" t="s">
        <v>38</v>
      </c>
      <c r="K4" s="212" t="s">
        <v>48</v>
      </c>
      <c r="L4" s="186"/>
      <c r="M4" s="69" t="str">
        <f>CapacityTable[[#This Row],[Model]]&amp;CapacityTable[[#This Row],[Type]]&amp;CapacityTable[[#This Row],[T ext]]&amp;CapacityTable[[#This Row],[T water out]]&amp;CapacityTable[[#This Row],[Results origin]]</f>
        <v>BLW Mono 6.1Min power-2040Simulation values</v>
      </c>
    </row>
    <row r="5" spans="1:13" x14ac:dyDescent="0.25">
      <c r="A5" t="s">
        <v>23</v>
      </c>
      <c r="B5" s="68" t="s">
        <v>166</v>
      </c>
      <c r="C5" s="92">
        <v>-20</v>
      </c>
      <c r="D5" s="68">
        <v>45</v>
      </c>
      <c r="E5" s="69">
        <v>1.128849</v>
      </c>
      <c r="F5" s="69">
        <v>0.78081400000000001</v>
      </c>
      <c r="G5" s="69">
        <v>1.4457329999999999</v>
      </c>
      <c r="H5" s="69">
        <v>0.432</v>
      </c>
      <c r="I5" s="69" t="s">
        <v>181</v>
      </c>
      <c r="J5" s="69" t="s">
        <v>38</v>
      </c>
      <c r="K5" s="212" t="s">
        <v>48</v>
      </c>
      <c r="L5" s="69"/>
      <c r="M5" s="69" t="str">
        <f>CapacityTable[[#This Row],[Model]]&amp;CapacityTable[[#This Row],[Type]]&amp;CapacityTable[[#This Row],[T ext]]&amp;CapacityTable[[#This Row],[T water out]]&amp;CapacityTable[[#This Row],[Results origin]]</f>
        <v>BLW Mono 6.1Min power-2045Simulation values</v>
      </c>
    </row>
    <row r="6" spans="1:13" x14ac:dyDescent="0.25">
      <c r="A6" t="s">
        <v>23</v>
      </c>
      <c r="B6" s="68" t="s">
        <v>165</v>
      </c>
      <c r="C6" s="92">
        <v>-20</v>
      </c>
      <c r="D6" s="68">
        <v>25</v>
      </c>
      <c r="E6" s="69">
        <v>3.4602004857808</v>
      </c>
      <c r="F6" s="69">
        <v>1.4887389475522108</v>
      </c>
      <c r="G6" s="69">
        <v>2.3011166480996801</v>
      </c>
      <c r="H6" s="69">
        <v>0.60018358095003599</v>
      </c>
      <c r="I6" s="69" t="s">
        <v>181</v>
      </c>
      <c r="J6" s="69" t="s">
        <v>38</v>
      </c>
      <c r="K6" s="212" t="s">
        <v>48</v>
      </c>
      <c r="L6" s="186" t="s">
        <v>182</v>
      </c>
      <c r="M6" s="69" t="str">
        <f>CapacityTable[[#This Row],[Model]]&amp;CapacityTable[[#This Row],[Type]]&amp;CapacityTable[[#This Row],[T ext]]&amp;CapacityTable[[#This Row],[T water out]]&amp;CapacityTable[[#This Row],[Results origin]]</f>
        <v>BLW Mono 6.1Max power-2025Simulation values</v>
      </c>
    </row>
    <row r="7" spans="1:13" x14ac:dyDescent="0.25">
      <c r="A7" t="s">
        <v>23</v>
      </c>
      <c r="B7" s="68" t="s">
        <v>165</v>
      </c>
      <c r="C7" s="92">
        <v>-20</v>
      </c>
      <c r="D7" s="92">
        <v>35</v>
      </c>
      <c r="E7" s="69">
        <v>3.3883794661585598</v>
      </c>
      <c r="F7" s="69">
        <v>1.6980360405237531</v>
      </c>
      <c r="G7" s="69">
        <v>1.97970389521681</v>
      </c>
      <c r="H7" s="69">
        <v>0.58991125130917199</v>
      </c>
      <c r="I7" s="69" t="s">
        <v>181</v>
      </c>
      <c r="J7" s="69" t="s">
        <v>38</v>
      </c>
      <c r="K7" s="213" t="s">
        <v>183</v>
      </c>
      <c r="L7" s="69"/>
      <c r="M7" s="69" t="str">
        <f>CapacityTable[[#This Row],[Model]]&amp;CapacityTable[[#This Row],[Type]]&amp;CapacityTable[[#This Row],[T ext]]&amp;CapacityTable[[#This Row],[T water out]]&amp;CapacityTable[[#This Row],[Results origin]]</f>
        <v>BLW Mono 6.1Max power-2035Simulation values</v>
      </c>
    </row>
    <row r="8" spans="1:13" x14ac:dyDescent="0.25">
      <c r="A8" t="s">
        <v>23</v>
      </c>
      <c r="B8" s="68" t="s">
        <v>166</v>
      </c>
      <c r="C8" s="92">
        <v>-20</v>
      </c>
      <c r="D8" s="68">
        <v>50</v>
      </c>
      <c r="E8" s="69">
        <v>1.1088739999999999</v>
      </c>
      <c r="F8" s="69">
        <v>0.83760900000000005</v>
      </c>
      <c r="G8" s="69">
        <v>1.3238570000000001</v>
      </c>
      <c r="H8" s="69">
        <v>0.432</v>
      </c>
      <c r="I8" s="69" t="s">
        <v>181</v>
      </c>
      <c r="J8" s="69" t="s">
        <v>38</v>
      </c>
      <c r="K8" s="212" t="s">
        <v>48</v>
      </c>
      <c r="L8" s="186"/>
      <c r="M8" s="69" t="str">
        <f>CapacityTable[[#This Row],[Model]]&amp;CapacityTable[[#This Row],[Type]]&amp;CapacityTable[[#This Row],[T ext]]&amp;CapacityTable[[#This Row],[T water out]]&amp;CapacityTable[[#This Row],[Results origin]]</f>
        <v>BLW Mono 6.1Min power-2050Simulation values</v>
      </c>
    </row>
    <row r="9" spans="1:13" x14ac:dyDescent="0.25">
      <c r="A9" t="s">
        <v>23</v>
      </c>
      <c r="B9" s="68" t="s">
        <v>156</v>
      </c>
      <c r="C9" s="92">
        <v>-20</v>
      </c>
      <c r="D9" s="68">
        <v>25</v>
      </c>
      <c r="E9" s="69">
        <v>2.0958341424483202</v>
      </c>
      <c r="F9" s="69">
        <v>0.85734976643982475</v>
      </c>
      <c r="G9" s="69">
        <v>2.4445497327786598</v>
      </c>
      <c r="H9" s="69">
        <v>0.432</v>
      </c>
      <c r="I9" s="69" t="s">
        <v>181</v>
      </c>
      <c r="J9" s="69" t="s">
        <v>38</v>
      </c>
      <c r="K9" s="212" t="s">
        <v>48</v>
      </c>
      <c r="L9" s="186" t="s">
        <v>182</v>
      </c>
      <c r="M9" s="69" t="str">
        <f>CapacityTable[[#This Row],[Model]]&amp;CapacityTable[[#This Row],[Type]]&amp;CapacityTable[[#This Row],[T ext]]&amp;CapacityTable[[#This Row],[T water out]]&amp;CapacityTable[[#This Row],[Results origin]]</f>
        <v>BLW Mono 6.1Best COP-2025Simulation values</v>
      </c>
    </row>
    <row r="10" spans="1:13" x14ac:dyDescent="0.25">
      <c r="A10" t="s">
        <v>25</v>
      </c>
      <c r="B10" s="68" t="s">
        <v>165</v>
      </c>
      <c r="C10" s="92">
        <v>-20</v>
      </c>
      <c r="D10" s="68">
        <v>25</v>
      </c>
      <c r="E10" s="69">
        <v>5.6723941867663896</v>
      </c>
      <c r="F10" s="69">
        <v>2.22200864833381</v>
      </c>
      <c r="G10" s="69">
        <v>2.5528227313695999</v>
      </c>
      <c r="H10" s="69">
        <v>0.98251502943972602</v>
      </c>
      <c r="I10" s="69" t="s">
        <v>181</v>
      </c>
      <c r="J10" s="69" t="s">
        <v>38</v>
      </c>
      <c r="K10" s="212" t="s">
        <v>48</v>
      </c>
      <c r="L10" s="186" t="s">
        <v>182</v>
      </c>
      <c r="M10" s="69" t="str">
        <f>CapacityTable[[#This Row],[Model]]&amp;CapacityTable[[#This Row],[Type]]&amp;CapacityTable[[#This Row],[T ext]]&amp;CapacityTable[[#This Row],[T water out]]&amp;CapacityTable[[#This Row],[Results origin]]</f>
        <v>BLW Mono 9.1Max power-2025Simulation values</v>
      </c>
    </row>
    <row r="11" spans="1:13" x14ac:dyDescent="0.25">
      <c r="A11" t="s">
        <v>23</v>
      </c>
      <c r="B11" s="68" t="s">
        <v>166</v>
      </c>
      <c r="C11" s="92">
        <v>-20</v>
      </c>
      <c r="D11" s="68">
        <v>55</v>
      </c>
      <c r="E11" s="69">
        <v>1.0906260000000001</v>
      </c>
      <c r="F11" s="69">
        <v>0.90028900000000001</v>
      </c>
      <c r="G11" s="69">
        <v>1.211419</v>
      </c>
      <c r="H11" s="69">
        <v>0.432</v>
      </c>
      <c r="I11" s="69" t="s">
        <v>181</v>
      </c>
      <c r="J11" s="69" t="s">
        <v>38</v>
      </c>
      <c r="K11" s="212" t="s">
        <v>48</v>
      </c>
      <c r="L11" s="69"/>
      <c r="M11" s="69" t="str">
        <f>CapacityTable[[#This Row],[Model]]&amp;CapacityTable[[#This Row],[Type]]&amp;CapacityTable[[#This Row],[T ext]]&amp;CapacityTable[[#This Row],[T water out]]&amp;CapacityTable[[#This Row],[Results origin]]</f>
        <v>BLW Mono 6.1Min power-2055Simulation values</v>
      </c>
    </row>
    <row r="12" spans="1:13" x14ac:dyDescent="0.25">
      <c r="A12" t="s">
        <v>25</v>
      </c>
      <c r="B12" s="68" t="s">
        <v>165</v>
      </c>
      <c r="C12" s="92">
        <v>-20</v>
      </c>
      <c r="D12" s="68">
        <v>35</v>
      </c>
      <c r="E12" s="69">
        <v>5.6343046530577201</v>
      </c>
      <c r="F12" s="69">
        <v>2.4926522175867984</v>
      </c>
      <c r="G12" s="69">
        <v>2.2603653302715601</v>
      </c>
      <c r="H12" s="69">
        <v>0.9794748966109631</v>
      </c>
      <c r="I12" s="69" t="s">
        <v>181</v>
      </c>
      <c r="J12" s="69" t="s">
        <v>38</v>
      </c>
      <c r="K12" s="213" t="s">
        <v>183</v>
      </c>
      <c r="L12" s="69"/>
      <c r="M12" s="69" t="str">
        <f>CapacityTable[[#This Row],[Model]]&amp;CapacityTable[[#This Row],[Type]]&amp;CapacityTable[[#This Row],[T ext]]&amp;CapacityTable[[#This Row],[T water out]]&amp;CapacityTable[[#This Row],[Results origin]]</f>
        <v>BLW Mono 9.1Max power-2035Simulation values</v>
      </c>
    </row>
    <row r="13" spans="1:13" x14ac:dyDescent="0.25">
      <c r="A13" t="s">
        <v>25</v>
      </c>
      <c r="B13" s="68" t="s">
        <v>166</v>
      </c>
      <c r="C13" s="92">
        <v>-20</v>
      </c>
      <c r="D13" s="68">
        <v>25</v>
      </c>
      <c r="E13" s="69">
        <v>2.3265339072015201</v>
      </c>
      <c r="F13" s="69">
        <v>0.84774821326886163</v>
      </c>
      <c r="G13" s="69">
        <v>2.7443689892669401</v>
      </c>
      <c r="H13" s="69">
        <v>0.74999999999999878</v>
      </c>
      <c r="I13" s="69" t="s">
        <v>181</v>
      </c>
      <c r="J13" s="69" t="s">
        <v>38</v>
      </c>
      <c r="K13" s="212" t="s">
        <v>48</v>
      </c>
      <c r="L13" s="186" t="s">
        <v>182</v>
      </c>
      <c r="M13" s="69" t="str">
        <f>CapacityTable[[#This Row],[Model]]&amp;CapacityTable[[#This Row],[Type]]&amp;CapacityTable[[#This Row],[T ext]]&amp;CapacityTable[[#This Row],[T water out]]&amp;CapacityTable[[#This Row],[Results origin]]</f>
        <v>BLW Mono 9.1Min power-2025Simulation values</v>
      </c>
    </row>
    <row r="14" spans="1:13" x14ac:dyDescent="0.25">
      <c r="A14" t="s">
        <v>23</v>
      </c>
      <c r="B14" s="68" t="s">
        <v>166</v>
      </c>
      <c r="C14" s="92">
        <v>-20</v>
      </c>
      <c r="D14" s="68">
        <v>60</v>
      </c>
      <c r="E14" s="69">
        <v>1.072756</v>
      </c>
      <c r="F14" s="69">
        <v>0.97107900000000003</v>
      </c>
      <c r="G14" s="69">
        <v>1.104705</v>
      </c>
      <c r="H14" s="69">
        <v>0.432</v>
      </c>
      <c r="I14" s="69" t="s">
        <v>181</v>
      </c>
      <c r="J14" s="69" t="s">
        <v>38</v>
      </c>
      <c r="K14" s="212" t="s">
        <v>48</v>
      </c>
      <c r="L14" s="186"/>
      <c r="M14" s="69" t="str">
        <f>CapacityTable[[#This Row],[Model]]&amp;CapacityTable[[#This Row],[Type]]&amp;CapacityTable[[#This Row],[T ext]]&amp;CapacityTable[[#This Row],[T water out]]&amp;CapacityTable[[#This Row],[Results origin]]</f>
        <v>BLW Mono 6.1Min power-2060Simulation values</v>
      </c>
    </row>
    <row r="15" spans="1:13" x14ac:dyDescent="0.25">
      <c r="A15" t="s">
        <v>25</v>
      </c>
      <c r="B15" s="68" t="s">
        <v>166</v>
      </c>
      <c r="C15" s="92">
        <v>-20</v>
      </c>
      <c r="D15" s="68">
        <v>35</v>
      </c>
      <c r="E15" s="69">
        <v>2.1177366713628398</v>
      </c>
      <c r="F15" s="69">
        <v>0.98688387926874621</v>
      </c>
      <c r="G15" s="69">
        <v>2.1458823229861901</v>
      </c>
      <c r="H15" s="69">
        <v>0.74999999999999878</v>
      </c>
      <c r="I15" s="69" t="s">
        <v>181</v>
      </c>
      <c r="J15" s="69" t="s">
        <v>38</v>
      </c>
      <c r="K15" s="213" t="s">
        <v>183</v>
      </c>
      <c r="L15" s="69" t="s">
        <v>184</v>
      </c>
      <c r="M15" s="69" t="str">
        <f>CapacityTable[[#This Row],[Model]]&amp;CapacityTable[[#This Row],[Type]]&amp;CapacityTable[[#This Row],[T ext]]&amp;CapacityTable[[#This Row],[T water out]]&amp;CapacityTable[[#This Row],[Results origin]]</f>
        <v>BLW Mono 9.1Min power-2035Simulation values</v>
      </c>
    </row>
    <row r="16" spans="1:13" x14ac:dyDescent="0.25">
      <c r="A16" t="s">
        <v>25</v>
      </c>
      <c r="B16" s="68" t="s">
        <v>156</v>
      </c>
      <c r="C16" s="92">
        <v>-20</v>
      </c>
      <c r="D16" s="68">
        <v>25</v>
      </c>
      <c r="E16" s="69">
        <v>2.3265339072015201</v>
      </c>
      <c r="F16" s="69">
        <v>0.84774821326886163</v>
      </c>
      <c r="G16" s="69">
        <v>2.7443689892669401</v>
      </c>
      <c r="H16" s="69">
        <v>0.74999999999999878</v>
      </c>
      <c r="I16" s="69" t="s">
        <v>181</v>
      </c>
      <c r="J16" s="69" t="s">
        <v>38</v>
      </c>
      <c r="K16" s="212" t="s">
        <v>48</v>
      </c>
      <c r="L16" s="186" t="s">
        <v>182</v>
      </c>
      <c r="M16" s="69" t="str">
        <f>CapacityTable[[#This Row],[Model]]&amp;CapacityTable[[#This Row],[Type]]&amp;CapacityTable[[#This Row],[T ext]]&amp;CapacityTable[[#This Row],[T water out]]&amp;CapacityTable[[#This Row],[Results origin]]</f>
        <v>BLW Mono 9.1Best COP-2025Simulation values</v>
      </c>
    </row>
    <row r="17" spans="1:13" x14ac:dyDescent="0.25">
      <c r="A17" t="s">
        <v>23</v>
      </c>
      <c r="B17" s="68" t="s">
        <v>166</v>
      </c>
      <c r="C17" s="92">
        <v>-20</v>
      </c>
      <c r="D17" s="68">
        <v>65</v>
      </c>
      <c r="E17" s="69">
        <v>1.422282</v>
      </c>
      <c r="F17" s="69">
        <v>1.2557929999999999</v>
      </c>
      <c r="G17" s="69">
        <v>1.1325769999999999</v>
      </c>
      <c r="H17" s="69">
        <v>0.432</v>
      </c>
      <c r="I17" s="69" t="s">
        <v>181</v>
      </c>
      <c r="J17" s="69" t="s">
        <v>38</v>
      </c>
      <c r="K17" s="212" t="s">
        <v>48</v>
      </c>
      <c r="L17" s="69"/>
      <c r="M17" s="69" t="str">
        <f>CapacityTable[[#This Row],[Model]]&amp;CapacityTable[[#This Row],[Type]]&amp;CapacityTable[[#This Row],[T ext]]&amp;CapacityTable[[#This Row],[T water out]]&amp;CapacityTable[[#This Row],[Results origin]]</f>
        <v>BLW Mono 6.1Min power-2065Simulation values</v>
      </c>
    </row>
    <row r="18" spans="1:13" x14ac:dyDescent="0.25">
      <c r="A18" t="s">
        <v>23</v>
      </c>
      <c r="B18" s="68" t="s">
        <v>156</v>
      </c>
      <c r="C18" s="92">
        <v>-20</v>
      </c>
      <c r="D18" s="92">
        <v>35</v>
      </c>
      <c r="E18" s="69">
        <v>2.62524362263138</v>
      </c>
      <c r="F18" s="69">
        <v>1.3090213820868961</v>
      </c>
      <c r="G18" s="69">
        <v>2.00550094792654</v>
      </c>
      <c r="H18" s="69">
        <v>0.45755018428521593</v>
      </c>
      <c r="I18" s="69" t="s">
        <v>181</v>
      </c>
      <c r="J18" s="69" t="s">
        <v>38</v>
      </c>
      <c r="K18" s="212" t="s">
        <v>48</v>
      </c>
      <c r="L18" s="186" t="s">
        <v>182</v>
      </c>
      <c r="M18" s="69" t="str">
        <f>CapacityTable[[#This Row],[Model]]&amp;CapacityTable[[#This Row],[Type]]&amp;CapacityTable[[#This Row],[T ext]]&amp;CapacityTable[[#This Row],[T water out]]&amp;CapacityTable[[#This Row],[Results origin]]</f>
        <v>BLW Mono 6.1Best COP-2035Simulation values</v>
      </c>
    </row>
    <row r="19" spans="1:13" x14ac:dyDescent="0.25">
      <c r="A19" t="s">
        <v>25</v>
      </c>
      <c r="B19" s="68" t="s">
        <v>156</v>
      </c>
      <c r="C19" s="92">
        <v>-20</v>
      </c>
      <c r="D19" s="92">
        <v>35</v>
      </c>
      <c r="E19" s="69">
        <v>4.4809840172408908</v>
      </c>
      <c r="F19" s="69">
        <v>1.9651425566765268</v>
      </c>
      <c r="G19" s="69">
        <v>2.2802335647441199</v>
      </c>
      <c r="H19" s="69">
        <v>0.77972319471871088</v>
      </c>
      <c r="I19" s="69" t="s">
        <v>181</v>
      </c>
      <c r="J19" s="69" t="s">
        <v>38</v>
      </c>
      <c r="K19" s="212" t="s">
        <v>48</v>
      </c>
      <c r="L19" s="186" t="s">
        <v>182</v>
      </c>
      <c r="M19" s="69" t="str">
        <f>CapacityTable[[#This Row],[Model]]&amp;CapacityTable[[#This Row],[Type]]&amp;CapacityTable[[#This Row],[T ext]]&amp;CapacityTable[[#This Row],[T water out]]&amp;CapacityTable[[#This Row],[Results origin]]</f>
        <v>BLW Mono 9.1Best COP-2035Simulation values</v>
      </c>
    </row>
    <row r="20" spans="1:13" x14ac:dyDescent="0.25">
      <c r="A20" t="s">
        <v>23</v>
      </c>
      <c r="B20" s="68" t="s">
        <v>166</v>
      </c>
      <c r="C20" s="92">
        <v>-20</v>
      </c>
      <c r="D20" s="68">
        <v>70</v>
      </c>
      <c r="E20" s="69" t="s">
        <v>185</v>
      </c>
      <c r="F20" s="69" t="s">
        <v>185</v>
      </c>
      <c r="G20" s="69" t="s">
        <v>185</v>
      </c>
      <c r="H20" s="69" t="s">
        <v>185</v>
      </c>
      <c r="I20" s="69" t="s">
        <v>181</v>
      </c>
      <c r="J20" s="69" t="s">
        <v>38</v>
      </c>
      <c r="K20" s="212" t="s">
        <v>48</v>
      </c>
      <c r="L20" s="186"/>
      <c r="M20" s="69" t="str">
        <f>CapacityTable[[#This Row],[Model]]&amp;CapacityTable[[#This Row],[Type]]&amp;CapacityTable[[#This Row],[T ext]]&amp;CapacityTable[[#This Row],[T water out]]&amp;CapacityTable[[#This Row],[Results origin]]</f>
        <v>BLW Mono 6.1Min power-2070Simulation values</v>
      </c>
    </row>
    <row r="21" spans="1:13" x14ac:dyDescent="0.25">
      <c r="A21" t="s">
        <v>23</v>
      </c>
      <c r="B21" s="68" t="s">
        <v>165</v>
      </c>
      <c r="C21" s="92">
        <v>-20</v>
      </c>
      <c r="D21" s="68">
        <v>40</v>
      </c>
      <c r="E21" s="69">
        <v>3.36701748159027</v>
      </c>
      <c r="F21" s="69">
        <v>1.7988321396321705</v>
      </c>
      <c r="G21" s="69">
        <v>1.85849280366992</v>
      </c>
      <c r="H21" s="69">
        <v>0.58724513689212365</v>
      </c>
      <c r="I21" s="69" t="s">
        <v>181</v>
      </c>
      <c r="J21" s="69" t="s">
        <v>38</v>
      </c>
      <c r="K21" s="212" t="s">
        <v>48</v>
      </c>
      <c r="L21" s="186" t="s">
        <v>182</v>
      </c>
      <c r="M21" s="69" t="str">
        <f>CapacityTable[[#This Row],[Model]]&amp;CapacityTable[[#This Row],[Type]]&amp;CapacityTable[[#This Row],[T ext]]&amp;CapacityTable[[#This Row],[T water out]]&amp;CapacityTable[[#This Row],[Results origin]]</f>
        <v>BLW Mono 6.1Max power-2040Simulation values</v>
      </c>
    </row>
    <row r="22" spans="1:13" x14ac:dyDescent="0.25">
      <c r="A22" t="s">
        <v>23</v>
      </c>
      <c r="B22" s="68" t="s">
        <v>165</v>
      </c>
      <c r="C22" s="92">
        <v>-20</v>
      </c>
      <c r="D22" s="92">
        <v>45</v>
      </c>
      <c r="E22" s="69">
        <v>3.34880626353561</v>
      </c>
      <c r="F22" s="69">
        <v>1.9004816956268071</v>
      </c>
      <c r="G22" s="69">
        <v>1.75084466488669</v>
      </c>
      <c r="H22" s="69">
        <v>0.58511200592471768</v>
      </c>
      <c r="I22" s="69" t="s">
        <v>181</v>
      </c>
      <c r="J22" s="69" t="s">
        <v>38</v>
      </c>
      <c r="K22" s="213" t="s">
        <v>183</v>
      </c>
      <c r="L22" s="69"/>
      <c r="M22" s="69" t="str">
        <f>CapacityTable[[#This Row],[Model]]&amp;CapacityTable[[#This Row],[Type]]&amp;CapacityTable[[#This Row],[T ext]]&amp;CapacityTable[[#This Row],[T water out]]&amp;CapacityTable[[#This Row],[Results origin]]</f>
        <v>BLW Mono 6.1Max power-2045Simulation values</v>
      </c>
    </row>
    <row r="23" spans="1:13" x14ac:dyDescent="0.25">
      <c r="A23" t="s">
        <v>23</v>
      </c>
      <c r="B23" s="68" t="s">
        <v>166</v>
      </c>
      <c r="C23" s="92">
        <v>-15</v>
      </c>
      <c r="D23" s="68">
        <v>25</v>
      </c>
      <c r="E23" s="69">
        <v>1.6202375897875501</v>
      </c>
      <c r="F23" s="69">
        <v>0.5796466383162352</v>
      </c>
      <c r="G23" s="69">
        <v>2.7952160552401999</v>
      </c>
      <c r="H23" s="69">
        <v>0.432</v>
      </c>
      <c r="I23" s="69" t="s">
        <v>181</v>
      </c>
      <c r="J23" s="69" t="s">
        <v>38</v>
      </c>
      <c r="K23" s="212" t="s">
        <v>48</v>
      </c>
      <c r="L23" s="186"/>
      <c r="M23" s="69" t="str">
        <f>CapacityTable[[#This Row],[Model]]&amp;CapacityTable[[#This Row],[Type]]&amp;CapacityTable[[#This Row],[T ext]]&amp;CapacityTable[[#This Row],[T water out]]&amp;CapacityTable[[#This Row],[Results origin]]</f>
        <v>BLW Mono 6.1Min power-1525Simulation values</v>
      </c>
    </row>
    <row r="24" spans="1:13" x14ac:dyDescent="0.25">
      <c r="A24" t="s">
        <v>23</v>
      </c>
      <c r="B24" s="68" t="s">
        <v>166</v>
      </c>
      <c r="C24" s="92">
        <v>-15</v>
      </c>
      <c r="D24" s="68">
        <v>35</v>
      </c>
      <c r="E24" s="69">
        <v>1.49928844045194</v>
      </c>
      <c r="F24" s="69">
        <v>0.70084212502465082</v>
      </c>
      <c r="G24" s="69">
        <v>2.1392670145208599</v>
      </c>
      <c r="H24" s="69">
        <v>0.432</v>
      </c>
      <c r="I24" s="69" t="s">
        <v>181</v>
      </c>
      <c r="J24" s="69" t="s">
        <v>38</v>
      </c>
      <c r="K24" s="212" t="s">
        <v>48</v>
      </c>
      <c r="L24" s="186"/>
      <c r="M24" s="69" t="str">
        <f>CapacityTable[[#This Row],[Model]]&amp;CapacityTable[[#This Row],[Type]]&amp;CapacityTable[[#This Row],[T ext]]&amp;CapacityTable[[#This Row],[T water out]]&amp;CapacityTable[[#This Row],[Results origin]]</f>
        <v>BLW Mono 6.1Min power-1535Simulation values</v>
      </c>
    </row>
    <row r="25" spans="1:13" x14ac:dyDescent="0.25">
      <c r="A25" t="s">
        <v>23</v>
      </c>
      <c r="B25" s="68" t="s">
        <v>166</v>
      </c>
      <c r="C25" s="92">
        <v>-15</v>
      </c>
      <c r="D25" s="68">
        <v>40</v>
      </c>
      <c r="E25" s="69">
        <v>1.46707501871482</v>
      </c>
      <c r="F25" s="69">
        <v>0.75771216585253565</v>
      </c>
      <c r="G25" s="69">
        <v>1.9361903963415299</v>
      </c>
      <c r="H25" s="69">
        <v>0.432</v>
      </c>
      <c r="I25" s="69" t="s">
        <v>181</v>
      </c>
      <c r="J25" s="69" t="s">
        <v>38</v>
      </c>
      <c r="K25" s="212" t="s">
        <v>48</v>
      </c>
      <c r="L25" s="186"/>
      <c r="M25" s="69" t="str">
        <f>CapacityTable[[#This Row],[Model]]&amp;CapacityTable[[#This Row],[Type]]&amp;CapacityTable[[#This Row],[T ext]]&amp;CapacityTable[[#This Row],[T water out]]&amp;CapacityTable[[#This Row],[Results origin]]</f>
        <v>BLW Mono 6.1Min power-1540Simulation values</v>
      </c>
    </row>
    <row r="26" spans="1:13" x14ac:dyDescent="0.25">
      <c r="A26" t="s">
        <v>23</v>
      </c>
      <c r="B26" s="68" t="s">
        <v>166</v>
      </c>
      <c r="C26" s="92">
        <v>-15</v>
      </c>
      <c r="D26" s="68">
        <v>45</v>
      </c>
      <c r="E26" s="69">
        <v>1.44387522302313</v>
      </c>
      <c r="F26" s="69">
        <v>0.81556833030761788</v>
      </c>
      <c r="G26" s="69">
        <v>1.7703914796183</v>
      </c>
      <c r="H26" s="69">
        <v>0.432</v>
      </c>
      <c r="I26" s="69" t="s">
        <v>181</v>
      </c>
      <c r="J26" s="69" t="s">
        <v>38</v>
      </c>
      <c r="K26" s="212" t="s">
        <v>48</v>
      </c>
      <c r="L26" s="186"/>
      <c r="M26" s="69" t="str">
        <f>CapacityTable[[#This Row],[Model]]&amp;CapacityTable[[#This Row],[Type]]&amp;CapacityTable[[#This Row],[T ext]]&amp;CapacityTable[[#This Row],[T water out]]&amp;CapacityTable[[#This Row],[Results origin]]</f>
        <v>BLW Mono 6.1Min power-1545Simulation values</v>
      </c>
    </row>
    <row r="27" spans="1:13" x14ac:dyDescent="0.25">
      <c r="A27" t="s">
        <v>23</v>
      </c>
      <c r="B27" s="68" t="s">
        <v>166</v>
      </c>
      <c r="C27" s="92">
        <v>-15</v>
      </c>
      <c r="D27" s="68">
        <v>50</v>
      </c>
      <c r="E27" s="69">
        <v>1.4242579906899899</v>
      </c>
      <c r="F27" s="69">
        <v>0.8769972988271898</v>
      </c>
      <c r="G27" s="69">
        <v>1.62401639388702</v>
      </c>
      <c r="H27" s="69">
        <v>0.432</v>
      </c>
      <c r="I27" s="69" t="s">
        <v>181</v>
      </c>
      <c r="J27" s="69" t="s">
        <v>38</v>
      </c>
      <c r="K27" s="212" t="s">
        <v>48</v>
      </c>
      <c r="L27" s="186"/>
      <c r="M27" s="69" t="str">
        <f>CapacityTable[[#This Row],[Model]]&amp;CapacityTable[[#This Row],[Type]]&amp;CapacityTable[[#This Row],[T ext]]&amp;CapacityTable[[#This Row],[T water out]]&amp;CapacityTable[[#This Row],[Results origin]]</f>
        <v>BLW Mono 6.1Min power-1550Simulation values</v>
      </c>
    </row>
    <row r="28" spans="1:13" x14ac:dyDescent="0.25">
      <c r="A28" t="s">
        <v>23</v>
      </c>
      <c r="B28" s="68" t="s">
        <v>166</v>
      </c>
      <c r="C28" s="92">
        <v>-15</v>
      </c>
      <c r="D28" s="68">
        <v>55</v>
      </c>
      <c r="E28" s="69">
        <v>1.4045627082807199</v>
      </c>
      <c r="F28" s="69">
        <v>0.94449079987809248</v>
      </c>
      <c r="G28" s="69">
        <v>1.4871110533443099</v>
      </c>
      <c r="H28" s="69">
        <v>0.432</v>
      </c>
      <c r="I28" s="69" t="s">
        <v>181</v>
      </c>
      <c r="J28" s="69" t="s">
        <v>38</v>
      </c>
      <c r="K28" s="212" t="s">
        <v>48</v>
      </c>
      <c r="L28" s="186"/>
      <c r="M28" s="69" t="str">
        <f>CapacityTable[[#This Row],[Model]]&amp;CapacityTable[[#This Row],[Type]]&amp;CapacityTable[[#This Row],[T ext]]&amp;CapacityTable[[#This Row],[T water out]]&amp;CapacityTable[[#This Row],[Results origin]]</f>
        <v>BLW Mono 6.1Min power-1555Simulation values</v>
      </c>
    </row>
    <row r="29" spans="1:13" x14ac:dyDescent="0.25">
      <c r="A29" t="s">
        <v>23</v>
      </c>
      <c r="B29" s="68" t="s">
        <v>166</v>
      </c>
      <c r="C29" s="92">
        <v>-15</v>
      </c>
      <c r="D29" s="68">
        <v>60</v>
      </c>
      <c r="E29" s="69">
        <v>1.3830905451097102</v>
      </c>
      <c r="F29" s="69">
        <v>1.0202623174675314</v>
      </c>
      <c r="G29" s="69">
        <v>1.3556224918144399</v>
      </c>
      <c r="H29" s="69">
        <v>0.432</v>
      </c>
      <c r="I29" s="69" t="s">
        <v>181</v>
      </c>
      <c r="J29" s="69" t="s">
        <v>38</v>
      </c>
      <c r="K29" s="212" t="s">
        <v>48</v>
      </c>
      <c r="L29" s="186"/>
      <c r="M29" s="69" t="str">
        <f>CapacityTable[[#This Row],[Model]]&amp;CapacityTable[[#This Row],[Type]]&amp;CapacityTable[[#This Row],[T ext]]&amp;CapacityTable[[#This Row],[T water out]]&amp;CapacityTable[[#This Row],[Results origin]]</f>
        <v>BLW Mono 6.1Min power-1560Simulation values</v>
      </c>
    </row>
    <row r="30" spans="1:13" x14ac:dyDescent="0.25">
      <c r="A30" t="s">
        <v>23</v>
      </c>
      <c r="B30" s="68" t="s">
        <v>166</v>
      </c>
      <c r="C30" s="92">
        <v>-15</v>
      </c>
      <c r="D30" s="68">
        <v>65</v>
      </c>
      <c r="E30" s="69">
        <v>1.36006075487933</v>
      </c>
      <c r="F30" s="69">
        <v>1.1064738108089291</v>
      </c>
      <c r="G30" s="69">
        <v>1.2291847683995401</v>
      </c>
      <c r="H30" s="69">
        <v>0.432</v>
      </c>
      <c r="I30" s="69" t="s">
        <v>181</v>
      </c>
      <c r="J30" s="69" t="s">
        <v>38</v>
      </c>
      <c r="K30" s="212" t="s">
        <v>48</v>
      </c>
      <c r="L30" s="186"/>
      <c r="M30" s="69" t="str">
        <f>CapacityTable[[#This Row],[Model]]&amp;CapacityTable[[#This Row],[Type]]&amp;CapacityTable[[#This Row],[T ext]]&amp;CapacityTable[[#This Row],[T water out]]&amp;CapacityTable[[#This Row],[Results origin]]</f>
        <v>BLW Mono 6.1Min power-1565Simulation values</v>
      </c>
    </row>
    <row r="31" spans="1:13" x14ac:dyDescent="0.25">
      <c r="A31" t="s">
        <v>23</v>
      </c>
      <c r="B31" s="68" t="s">
        <v>165</v>
      </c>
      <c r="C31" s="92">
        <v>-20</v>
      </c>
      <c r="D31" s="68">
        <v>50</v>
      </c>
      <c r="E31" s="69">
        <v>3.3352765072326802</v>
      </c>
      <c r="F31" s="69">
        <v>1.9895857493455418</v>
      </c>
      <c r="G31" s="69">
        <v>1.6677328220493499</v>
      </c>
      <c r="H31" s="69">
        <v>0.432</v>
      </c>
      <c r="I31" s="69" t="s">
        <v>181</v>
      </c>
      <c r="J31" s="69" t="s">
        <v>38</v>
      </c>
      <c r="K31" s="212" t="s">
        <v>48</v>
      </c>
      <c r="L31" s="186" t="s">
        <v>182</v>
      </c>
      <c r="M31" s="69" t="str">
        <f>CapacityTable[[#This Row],[Model]]&amp;CapacityTable[[#This Row],[Type]]&amp;CapacityTable[[#This Row],[T ext]]&amp;CapacityTable[[#This Row],[T water out]]&amp;CapacityTable[[#This Row],[Results origin]]</f>
        <v>BLW Mono 6.1Max power-2050Simulation values</v>
      </c>
    </row>
    <row r="32" spans="1:13" x14ac:dyDescent="0.25">
      <c r="A32" t="s">
        <v>23</v>
      </c>
      <c r="B32" s="68" t="s">
        <v>156</v>
      </c>
      <c r="C32" s="92">
        <v>-20</v>
      </c>
      <c r="D32" s="68">
        <v>40</v>
      </c>
      <c r="E32" s="69">
        <v>2.82188482677339</v>
      </c>
      <c r="F32" s="69">
        <v>1.5124090602361147</v>
      </c>
      <c r="G32" s="69">
        <v>1.8658211597415599</v>
      </c>
      <c r="H32" s="69">
        <v>0.49254693313140718</v>
      </c>
      <c r="I32" s="69" t="s">
        <v>181</v>
      </c>
      <c r="J32" s="69" t="s">
        <v>38</v>
      </c>
      <c r="K32" s="212" t="s">
        <v>48</v>
      </c>
      <c r="L32" s="186" t="s">
        <v>182</v>
      </c>
      <c r="M32" s="69" t="str">
        <f>CapacityTable[[#This Row],[Model]]&amp;CapacityTable[[#This Row],[Type]]&amp;CapacityTable[[#This Row],[T ext]]&amp;CapacityTable[[#This Row],[T water out]]&amp;CapacityTable[[#This Row],[Results origin]]</f>
        <v>BLW Mono 6.1Best COP-2040Simulation values</v>
      </c>
    </row>
    <row r="33" spans="1:13" x14ac:dyDescent="0.25">
      <c r="A33" t="s">
        <v>25</v>
      </c>
      <c r="B33" s="68" t="s">
        <v>156</v>
      </c>
      <c r="C33" s="92">
        <v>-20</v>
      </c>
      <c r="D33" s="68">
        <v>40</v>
      </c>
      <c r="E33" s="69">
        <v>4.7791775724882903</v>
      </c>
      <c r="F33" s="69">
        <v>2.252193901357034</v>
      </c>
      <c r="G33" s="69">
        <v>2.1220098187854299</v>
      </c>
      <c r="H33" s="69">
        <v>0.83285557430236201</v>
      </c>
      <c r="I33" s="69" t="s">
        <v>181</v>
      </c>
      <c r="J33" s="69" t="s">
        <v>38</v>
      </c>
      <c r="K33" s="212" t="s">
        <v>48</v>
      </c>
      <c r="L33" s="186" t="s">
        <v>182</v>
      </c>
      <c r="M33" s="69" t="str">
        <f>CapacityTable[[#This Row],[Model]]&amp;CapacityTable[[#This Row],[Type]]&amp;CapacityTable[[#This Row],[T ext]]&amp;CapacityTable[[#This Row],[T water out]]&amp;CapacityTable[[#This Row],[Results origin]]</f>
        <v>BLW Mono 9.1Best COP-2040Simulation values</v>
      </c>
    </row>
    <row r="34" spans="1:13" x14ac:dyDescent="0.25">
      <c r="A34" t="s">
        <v>23</v>
      </c>
      <c r="B34" s="68" t="s">
        <v>165</v>
      </c>
      <c r="C34" s="92">
        <v>-20</v>
      </c>
      <c r="D34" s="92">
        <v>55</v>
      </c>
      <c r="E34" s="69">
        <v>3.3149396764039998</v>
      </c>
      <c r="F34" s="69">
        <v>2.0987263517028358</v>
      </c>
      <c r="G34" s="69">
        <v>1.57226669769627</v>
      </c>
      <c r="H34" s="69">
        <v>0.432</v>
      </c>
      <c r="I34" s="69" t="s">
        <v>181</v>
      </c>
      <c r="J34" s="69" t="s">
        <v>38</v>
      </c>
      <c r="K34" s="213" t="s">
        <v>183</v>
      </c>
      <c r="L34" s="69"/>
      <c r="M34" s="69" t="str">
        <f>CapacityTable[[#This Row],[Model]]&amp;CapacityTable[[#This Row],[Type]]&amp;CapacityTable[[#This Row],[T ext]]&amp;CapacityTable[[#This Row],[T water out]]&amp;CapacityTable[[#This Row],[Results origin]]</f>
        <v>BLW Mono 6.1Max power-2055Simulation values</v>
      </c>
    </row>
    <row r="35" spans="1:13" x14ac:dyDescent="0.25">
      <c r="A35" t="s">
        <v>23</v>
      </c>
      <c r="B35" s="68" t="s">
        <v>166</v>
      </c>
      <c r="C35" s="92">
        <v>-15</v>
      </c>
      <c r="D35" s="68">
        <v>70</v>
      </c>
      <c r="E35" s="69" t="s">
        <v>185</v>
      </c>
      <c r="F35" s="69" t="s">
        <v>185</v>
      </c>
      <c r="G35" s="69" t="s">
        <v>185</v>
      </c>
      <c r="H35" s="69" t="s">
        <v>185</v>
      </c>
      <c r="I35" s="69" t="s">
        <v>181</v>
      </c>
      <c r="J35" s="69" t="s">
        <v>38</v>
      </c>
      <c r="K35" s="212" t="s">
        <v>48</v>
      </c>
      <c r="L35" s="186"/>
      <c r="M35" s="69" t="str">
        <f>CapacityTable[[#This Row],[Model]]&amp;CapacityTable[[#This Row],[Type]]&amp;CapacityTable[[#This Row],[T ext]]&amp;CapacityTable[[#This Row],[T water out]]&amp;CapacityTable[[#This Row],[Results origin]]</f>
        <v>BLW Mono 6.1Min power-1570Simulation values</v>
      </c>
    </row>
    <row r="36" spans="1:13" x14ac:dyDescent="0.25">
      <c r="A36" t="s">
        <v>23</v>
      </c>
      <c r="B36" s="68" t="s">
        <v>166</v>
      </c>
      <c r="C36" s="92">
        <v>-10</v>
      </c>
      <c r="D36" s="68">
        <v>25</v>
      </c>
      <c r="E36" s="69">
        <v>1.7445804045311399</v>
      </c>
      <c r="F36" s="69">
        <v>0.54328699955394111</v>
      </c>
      <c r="G36" s="69">
        <v>3.2111580177024401</v>
      </c>
      <c r="H36" s="69">
        <v>0.432</v>
      </c>
      <c r="I36" s="69" t="s">
        <v>181</v>
      </c>
      <c r="J36" s="69" t="s">
        <v>38</v>
      </c>
      <c r="K36" s="212" t="s">
        <v>48</v>
      </c>
      <c r="L36" s="186"/>
      <c r="M36" s="69" t="str">
        <f>CapacityTable[[#This Row],[Model]]&amp;CapacityTable[[#This Row],[Type]]&amp;CapacityTable[[#This Row],[T ext]]&amp;CapacityTable[[#This Row],[T water out]]&amp;CapacityTable[[#This Row],[Results origin]]</f>
        <v>BLW Mono 6.1Min power-1025Simulation values</v>
      </c>
    </row>
    <row r="37" spans="1:13" x14ac:dyDescent="0.25">
      <c r="A37" t="s">
        <v>23</v>
      </c>
      <c r="B37" s="68" t="s">
        <v>165</v>
      </c>
      <c r="C37" s="92">
        <v>-20</v>
      </c>
      <c r="D37" s="68">
        <v>60</v>
      </c>
      <c r="E37" s="69">
        <v>3.2914957200711701</v>
      </c>
      <c r="F37" s="69">
        <v>2.2154494301332313</v>
      </c>
      <c r="G37" s="69">
        <v>1.4797220660819701</v>
      </c>
      <c r="H37" s="69">
        <v>0.432</v>
      </c>
      <c r="I37" s="69" t="s">
        <v>181</v>
      </c>
      <c r="J37" s="69" t="s">
        <v>38</v>
      </c>
      <c r="K37" s="212" t="s">
        <v>48</v>
      </c>
      <c r="L37" s="186" t="s">
        <v>182</v>
      </c>
      <c r="M37" s="69" t="str">
        <f>CapacityTable[[#This Row],[Model]]&amp;CapacityTable[[#This Row],[Type]]&amp;CapacityTable[[#This Row],[T ext]]&amp;CapacityTable[[#This Row],[T water out]]&amp;CapacityTable[[#This Row],[Results origin]]</f>
        <v>BLW Mono 6.1Max power-2060Simulation values</v>
      </c>
    </row>
    <row r="38" spans="1:13" x14ac:dyDescent="0.25">
      <c r="A38" t="s">
        <v>25</v>
      </c>
      <c r="B38" s="68" t="s">
        <v>165</v>
      </c>
      <c r="C38" s="92">
        <v>-20</v>
      </c>
      <c r="D38" s="68">
        <v>40</v>
      </c>
      <c r="E38" s="69">
        <v>5.6044640239035095</v>
      </c>
      <c r="F38" s="69">
        <v>2.6435812258846969</v>
      </c>
      <c r="G38" s="69">
        <v>2.12002716959375</v>
      </c>
      <c r="H38" s="69">
        <v>0.97603115397109197</v>
      </c>
      <c r="I38" s="69" t="s">
        <v>181</v>
      </c>
      <c r="J38" s="69" t="s">
        <v>38</v>
      </c>
      <c r="K38" s="212" t="s">
        <v>48</v>
      </c>
      <c r="L38" s="186" t="s">
        <v>182</v>
      </c>
      <c r="M38" s="69" t="str">
        <f>CapacityTable[[#This Row],[Model]]&amp;CapacityTable[[#This Row],[Type]]&amp;CapacityTable[[#This Row],[T ext]]&amp;CapacityTable[[#This Row],[T water out]]&amp;CapacityTable[[#This Row],[Results origin]]</f>
        <v>BLW Mono 9.1Max power-2040Simulation values</v>
      </c>
    </row>
    <row r="39" spans="1:13" x14ac:dyDescent="0.25">
      <c r="A39" t="s">
        <v>25</v>
      </c>
      <c r="B39" s="68" t="s">
        <v>156</v>
      </c>
      <c r="C39" s="92">
        <v>-20</v>
      </c>
      <c r="D39" s="92">
        <v>45</v>
      </c>
      <c r="E39" s="69">
        <v>4.7365305398470001</v>
      </c>
      <c r="F39" s="69">
        <v>2.3943451849655695</v>
      </c>
      <c r="G39" s="69">
        <v>1.9782154092017901</v>
      </c>
      <c r="H39" s="69">
        <v>0.82690762153705921</v>
      </c>
      <c r="I39" s="69" t="s">
        <v>181</v>
      </c>
      <c r="J39" s="69" t="s">
        <v>38</v>
      </c>
      <c r="K39" s="212" t="s">
        <v>48</v>
      </c>
      <c r="L39" s="186" t="s">
        <v>182</v>
      </c>
      <c r="M39" s="69" t="str">
        <f>CapacityTable[[#This Row],[Model]]&amp;CapacityTable[[#This Row],[Type]]&amp;CapacityTable[[#This Row],[T ext]]&amp;CapacityTable[[#This Row],[T water out]]&amp;CapacityTable[[#This Row],[Results origin]]</f>
        <v>BLW Mono 9.1Best COP-2045Simulation values</v>
      </c>
    </row>
    <row r="40" spans="1:13" x14ac:dyDescent="0.25">
      <c r="A40" t="s">
        <v>23</v>
      </c>
      <c r="B40" s="68" t="s">
        <v>165</v>
      </c>
      <c r="C40" s="92">
        <v>-20</v>
      </c>
      <c r="D40" s="92">
        <v>65</v>
      </c>
      <c r="E40" s="69">
        <v>3.1815313843973301</v>
      </c>
      <c r="F40" s="69">
        <v>2.2954680840218247</v>
      </c>
      <c r="G40" s="69">
        <v>1.38113325917337</v>
      </c>
      <c r="H40" s="69">
        <v>0.432</v>
      </c>
      <c r="I40" s="69" t="s">
        <v>181</v>
      </c>
      <c r="J40" s="69" t="s">
        <v>38</v>
      </c>
      <c r="K40" s="213" t="s">
        <v>183</v>
      </c>
      <c r="L40" s="69"/>
      <c r="M40" s="69" t="str">
        <f>CapacityTable[[#This Row],[Model]]&amp;CapacityTable[[#This Row],[Type]]&amp;CapacityTable[[#This Row],[T ext]]&amp;CapacityTable[[#This Row],[T water out]]&amp;CapacityTable[[#This Row],[Results origin]]</f>
        <v>BLW Mono 6.1Max power-2065Simulation values</v>
      </c>
    </row>
    <row r="41" spans="1:13" x14ac:dyDescent="0.25">
      <c r="A41" t="s">
        <v>23</v>
      </c>
      <c r="B41" s="68" t="s">
        <v>156</v>
      </c>
      <c r="C41" s="92">
        <v>-20</v>
      </c>
      <c r="D41" s="92">
        <v>45</v>
      </c>
      <c r="E41" s="69">
        <v>2.8009129890969398</v>
      </c>
      <c r="F41" s="69">
        <v>1.6028427711977886</v>
      </c>
      <c r="G41" s="69">
        <v>1.74746583971168</v>
      </c>
      <c r="H41" s="69">
        <v>0.48976475839070405</v>
      </c>
      <c r="I41" s="69" t="s">
        <v>181</v>
      </c>
      <c r="J41" s="69" t="s">
        <v>38</v>
      </c>
      <c r="K41" s="212" t="s">
        <v>48</v>
      </c>
      <c r="L41" s="186" t="s">
        <v>186</v>
      </c>
      <c r="M41" s="69" t="str">
        <f>CapacityTable[[#This Row],[Model]]&amp;CapacityTable[[#This Row],[Type]]&amp;CapacityTable[[#This Row],[T ext]]&amp;CapacityTable[[#This Row],[T water out]]&amp;CapacityTable[[#This Row],[Results origin]]</f>
        <v>BLW Mono 6.1Best COP-2045Simulation values</v>
      </c>
    </row>
    <row r="42" spans="1:13" x14ac:dyDescent="0.25">
      <c r="A42" t="s">
        <v>25</v>
      </c>
      <c r="B42" s="68" t="s">
        <v>156</v>
      </c>
      <c r="C42" s="92">
        <v>-20</v>
      </c>
      <c r="D42" s="68">
        <v>50</v>
      </c>
      <c r="E42" s="69">
        <v>4.6989913001380703</v>
      </c>
      <c r="F42" s="69">
        <v>2.5385407323944489</v>
      </c>
      <c r="G42" s="69">
        <v>1.8510600362539</v>
      </c>
      <c r="H42" s="69">
        <v>0.74999999999999878</v>
      </c>
      <c r="I42" s="69" t="s">
        <v>181</v>
      </c>
      <c r="J42" s="69" t="s">
        <v>38</v>
      </c>
      <c r="K42" s="212" t="s">
        <v>48</v>
      </c>
      <c r="L42" s="186" t="s">
        <v>182</v>
      </c>
      <c r="M42" s="69" t="str">
        <f>CapacityTable[[#This Row],[Model]]&amp;CapacityTable[[#This Row],[Type]]&amp;CapacityTable[[#This Row],[T ext]]&amp;CapacityTable[[#This Row],[T water out]]&amp;CapacityTable[[#This Row],[Results origin]]</f>
        <v>BLW Mono 9.1Best COP-2050Simulation values</v>
      </c>
    </row>
    <row r="43" spans="1:13" x14ac:dyDescent="0.25">
      <c r="A43" t="s">
        <v>23</v>
      </c>
      <c r="B43" s="68" t="s">
        <v>165</v>
      </c>
      <c r="C43" s="92">
        <v>-20</v>
      </c>
      <c r="D43" s="68">
        <v>70</v>
      </c>
      <c r="E43" s="69" t="s">
        <v>185</v>
      </c>
      <c r="F43" s="69" t="s">
        <v>185</v>
      </c>
      <c r="G43" s="69" t="s">
        <v>185</v>
      </c>
      <c r="H43" s="69" t="s">
        <v>185</v>
      </c>
      <c r="I43" s="69" t="s">
        <v>181</v>
      </c>
      <c r="J43" s="69" t="s">
        <v>38</v>
      </c>
      <c r="K43" s="212" t="s">
        <v>48</v>
      </c>
      <c r="L43" s="186" t="s">
        <v>182</v>
      </c>
      <c r="M43" s="69" t="str">
        <f>CapacityTable[[#This Row],[Model]]&amp;CapacityTable[[#This Row],[Type]]&amp;CapacityTable[[#This Row],[T ext]]&amp;CapacityTable[[#This Row],[T water out]]&amp;CapacityTable[[#This Row],[Results origin]]</f>
        <v>BLW Mono 6.1Max power-2070Simulation values</v>
      </c>
    </row>
    <row r="44" spans="1:13" x14ac:dyDescent="0.25">
      <c r="A44" t="s">
        <v>25</v>
      </c>
      <c r="B44" s="68" t="s">
        <v>166</v>
      </c>
      <c r="C44" s="92">
        <v>-20</v>
      </c>
      <c r="D44" s="68">
        <v>40</v>
      </c>
      <c r="E44" s="69">
        <v>2.0378904650080103</v>
      </c>
      <c r="F44" s="69">
        <v>1.0577823047820056</v>
      </c>
      <c r="G44" s="69">
        <v>1.9265688750843599</v>
      </c>
      <c r="H44" s="69">
        <v>0.74999999999999878</v>
      </c>
      <c r="I44" s="69" t="s">
        <v>181</v>
      </c>
      <c r="J44" s="69" t="s">
        <v>38</v>
      </c>
      <c r="K44" s="212" t="s">
        <v>48</v>
      </c>
      <c r="L44" s="186" t="s">
        <v>182</v>
      </c>
      <c r="M44" s="69" t="str">
        <f>CapacityTable[[#This Row],[Model]]&amp;CapacityTable[[#This Row],[Type]]&amp;CapacityTable[[#This Row],[T ext]]&amp;CapacityTable[[#This Row],[T water out]]&amp;CapacityTable[[#This Row],[Results origin]]</f>
        <v>BLW Mono 9.1Min power-2040Simulation values</v>
      </c>
    </row>
    <row r="45" spans="1:13" x14ac:dyDescent="0.25">
      <c r="A45" t="s">
        <v>25</v>
      </c>
      <c r="B45" s="68" t="s">
        <v>165</v>
      </c>
      <c r="C45" s="92">
        <v>-20</v>
      </c>
      <c r="D45" s="68">
        <v>45</v>
      </c>
      <c r="E45" s="69">
        <v>5.5702818939894296</v>
      </c>
      <c r="F45" s="69">
        <v>2.804411291208365</v>
      </c>
      <c r="G45" s="69">
        <v>1.98625711979262</v>
      </c>
      <c r="H45" s="69">
        <v>0.97180791542835854</v>
      </c>
      <c r="I45" s="69" t="s">
        <v>181</v>
      </c>
      <c r="J45" s="69" t="s">
        <v>38</v>
      </c>
      <c r="K45" s="213" t="s">
        <v>183</v>
      </c>
      <c r="L45" s="69"/>
      <c r="M45" s="69" t="str">
        <f>CapacityTable[[#This Row],[Model]]&amp;CapacityTable[[#This Row],[Type]]&amp;CapacityTable[[#This Row],[T ext]]&amp;CapacityTable[[#This Row],[T water out]]&amp;CapacityTable[[#This Row],[Results origin]]</f>
        <v>BLW Mono 9.1Max power-2045Simulation values</v>
      </c>
    </row>
    <row r="46" spans="1:13" x14ac:dyDescent="0.25">
      <c r="A46" t="s">
        <v>23</v>
      </c>
      <c r="B46" s="68" t="s">
        <v>165</v>
      </c>
      <c r="C46" s="92">
        <v>-15</v>
      </c>
      <c r="D46" s="68">
        <v>25</v>
      </c>
      <c r="E46" s="69">
        <v>4.3297103724832899</v>
      </c>
      <c r="F46" s="69">
        <v>1.6193364616963244</v>
      </c>
      <c r="G46" s="69">
        <v>2.6476319823051901</v>
      </c>
      <c r="H46" s="69">
        <v>0.75012133227649924</v>
      </c>
      <c r="I46" s="69" t="s">
        <v>181</v>
      </c>
      <c r="J46" s="69" t="s">
        <v>38</v>
      </c>
      <c r="K46" s="212" t="s">
        <v>48</v>
      </c>
      <c r="L46" s="186" t="s">
        <v>182</v>
      </c>
      <c r="M46" s="69" t="str">
        <f>CapacityTable[[#This Row],[Model]]&amp;CapacityTable[[#This Row],[Type]]&amp;CapacityTable[[#This Row],[T ext]]&amp;CapacityTable[[#This Row],[T water out]]&amp;CapacityTable[[#This Row],[Results origin]]</f>
        <v>BLW Mono 6.1Max power-1525Simulation values</v>
      </c>
    </row>
    <row r="47" spans="1:13" x14ac:dyDescent="0.25">
      <c r="A47" t="s">
        <v>23</v>
      </c>
      <c r="B47" s="68" t="s">
        <v>166</v>
      </c>
      <c r="C47" s="92">
        <v>-10</v>
      </c>
      <c r="D47" s="68">
        <v>35</v>
      </c>
      <c r="E47" s="69">
        <v>1.6311822106870899</v>
      </c>
      <c r="F47" s="69">
        <v>0.66530640070571301</v>
      </c>
      <c r="G47" s="69">
        <v>2.4517759170163398</v>
      </c>
      <c r="H47" s="69">
        <v>0.432</v>
      </c>
      <c r="I47" s="69" t="s">
        <v>181</v>
      </c>
      <c r="J47" s="69" t="s">
        <v>38</v>
      </c>
      <c r="K47" s="212" t="s">
        <v>48</v>
      </c>
      <c r="L47" s="69"/>
      <c r="M47" s="69" t="str">
        <f>CapacityTable[[#This Row],[Model]]&amp;CapacityTable[[#This Row],[Type]]&amp;CapacityTable[[#This Row],[T ext]]&amp;CapacityTable[[#This Row],[T water out]]&amp;CapacityTable[[#This Row],[Results origin]]</f>
        <v>BLW Mono 6.1Min power-1035Simulation values</v>
      </c>
    </row>
    <row r="48" spans="1:13" x14ac:dyDescent="0.25">
      <c r="A48" t="s">
        <v>23</v>
      </c>
      <c r="B48" s="68" t="s">
        <v>166</v>
      </c>
      <c r="C48" s="92">
        <v>-10</v>
      </c>
      <c r="D48" s="68">
        <v>40</v>
      </c>
      <c r="E48" s="69">
        <v>1.6026908873088901</v>
      </c>
      <c r="F48" s="69">
        <v>0.72264977384076146</v>
      </c>
      <c r="G48" s="69">
        <v>2.21779753529965</v>
      </c>
      <c r="H48" s="69">
        <v>0.432</v>
      </c>
      <c r="I48" s="69" t="s">
        <v>181</v>
      </c>
      <c r="J48" s="69" t="s">
        <v>38</v>
      </c>
      <c r="K48" s="212" t="s">
        <v>48</v>
      </c>
      <c r="L48" s="186"/>
      <c r="M48" s="69" t="str">
        <f>CapacityTable[[#This Row],[Model]]&amp;CapacityTable[[#This Row],[Type]]&amp;CapacityTable[[#This Row],[T ext]]&amp;CapacityTable[[#This Row],[T water out]]&amp;CapacityTable[[#This Row],[Results origin]]</f>
        <v>BLW Mono 6.1Min power-1040Simulation values</v>
      </c>
    </row>
    <row r="49" spans="1:13" x14ac:dyDescent="0.25">
      <c r="A49" t="s">
        <v>23</v>
      </c>
      <c r="B49" s="68" t="s">
        <v>165</v>
      </c>
      <c r="C49" s="92">
        <v>-15</v>
      </c>
      <c r="D49" s="68">
        <v>35</v>
      </c>
      <c r="E49" s="69">
        <v>4.1958971529614004</v>
      </c>
      <c r="F49" s="69">
        <v>1.858697464657534</v>
      </c>
      <c r="G49" s="69">
        <v>2.2396745582884101</v>
      </c>
      <c r="H49" s="69">
        <v>0.729693901729908</v>
      </c>
      <c r="I49" s="69" t="s">
        <v>181</v>
      </c>
      <c r="J49" s="69" t="s">
        <v>38</v>
      </c>
      <c r="K49" s="212" t="s">
        <v>48</v>
      </c>
      <c r="L49" s="186" t="s">
        <v>182</v>
      </c>
      <c r="M49" s="69" t="str">
        <f>CapacityTable[[#This Row],[Model]]&amp;CapacityTable[[#This Row],[Type]]&amp;CapacityTable[[#This Row],[T ext]]&amp;CapacityTable[[#This Row],[T water out]]&amp;CapacityTable[[#This Row],[Results origin]]</f>
        <v>BLW Mono 6.1Max power-1535Simulation values</v>
      </c>
    </row>
    <row r="50" spans="1:13" x14ac:dyDescent="0.25">
      <c r="A50" t="s">
        <v>23</v>
      </c>
      <c r="B50" s="68" t="s">
        <v>165</v>
      </c>
      <c r="C50" s="92">
        <v>-15</v>
      </c>
      <c r="D50" s="68">
        <v>40</v>
      </c>
      <c r="E50" s="69">
        <v>4.1455540551979499</v>
      </c>
      <c r="F50" s="69">
        <v>1.9749279514591518</v>
      </c>
      <c r="G50" s="69">
        <v>2.0841935191083398</v>
      </c>
      <c r="H50" s="69">
        <v>0.72226130953232159</v>
      </c>
      <c r="I50" s="69" t="s">
        <v>181</v>
      </c>
      <c r="J50" s="69" t="s">
        <v>38</v>
      </c>
      <c r="K50" s="212" t="s">
        <v>48</v>
      </c>
      <c r="L50" s="186" t="s">
        <v>182</v>
      </c>
      <c r="M50" s="69" t="str">
        <f>CapacityTable[[#This Row],[Model]]&amp;CapacityTable[[#This Row],[Type]]&amp;CapacityTable[[#This Row],[T ext]]&amp;CapacityTable[[#This Row],[T water out]]&amp;CapacityTable[[#This Row],[Results origin]]</f>
        <v>BLW Mono 6.1Max power-1540Simulation values</v>
      </c>
    </row>
    <row r="51" spans="1:13" x14ac:dyDescent="0.25">
      <c r="A51" t="s">
        <v>23</v>
      </c>
      <c r="B51" s="68" t="s">
        <v>165</v>
      </c>
      <c r="C51" s="92">
        <v>-15</v>
      </c>
      <c r="D51" s="68">
        <v>45</v>
      </c>
      <c r="E51" s="69">
        <v>4.1002655822859193</v>
      </c>
      <c r="F51" s="69">
        <v>2.092189694475413</v>
      </c>
      <c r="G51" s="69">
        <v>1.9472573806914399</v>
      </c>
      <c r="H51" s="69">
        <v>0.71566974410280126</v>
      </c>
      <c r="I51" s="69" t="s">
        <v>181</v>
      </c>
      <c r="J51" s="69" t="s">
        <v>38</v>
      </c>
      <c r="K51" s="212" t="s">
        <v>48</v>
      </c>
      <c r="L51" s="186" t="s">
        <v>186</v>
      </c>
      <c r="M51" s="69" t="str">
        <f>CapacityTable[[#This Row],[Model]]&amp;CapacityTable[[#This Row],[Type]]&amp;CapacityTable[[#This Row],[T ext]]&amp;CapacityTable[[#This Row],[T water out]]&amp;CapacityTable[[#This Row],[Results origin]]</f>
        <v>BLW Mono 6.1Max power-1545Simulation values</v>
      </c>
    </row>
    <row r="52" spans="1:13" x14ac:dyDescent="0.25">
      <c r="A52" t="s">
        <v>23</v>
      </c>
      <c r="B52" s="68" t="s">
        <v>165</v>
      </c>
      <c r="C52" s="92">
        <v>-15</v>
      </c>
      <c r="D52" s="68">
        <v>50</v>
      </c>
      <c r="E52" s="69">
        <v>4.0693861714589099</v>
      </c>
      <c r="F52" s="69">
        <v>2.1825118253018436</v>
      </c>
      <c r="G52" s="69">
        <v>1.8547416117590301</v>
      </c>
      <c r="H52" s="69">
        <v>0.44402025610024559</v>
      </c>
      <c r="I52" s="69" t="s">
        <v>181</v>
      </c>
      <c r="J52" s="69" t="s">
        <v>38</v>
      </c>
      <c r="K52" s="212" t="s">
        <v>48</v>
      </c>
      <c r="L52" s="186" t="s">
        <v>182</v>
      </c>
      <c r="M52" s="69" t="str">
        <f>CapacityTable[[#This Row],[Model]]&amp;CapacityTable[[#This Row],[Type]]&amp;CapacityTable[[#This Row],[T ext]]&amp;CapacityTable[[#This Row],[T water out]]&amp;CapacityTable[[#This Row],[Results origin]]</f>
        <v>BLW Mono 6.1Max power-1550Simulation values</v>
      </c>
    </row>
    <row r="53" spans="1:13" x14ac:dyDescent="0.25">
      <c r="A53" t="s">
        <v>23</v>
      </c>
      <c r="B53" s="68" t="s">
        <v>156</v>
      </c>
      <c r="C53" s="92">
        <v>-20</v>
      </c>
      <c r="D53" s="68">
        <v>50</v>
      </c>
      <c r="E53" s="69">
        <v>2.7820938554839199</v>
      </c>
      <c r="F53" s="69">
        <v>1.6915779340510158</v>
      </c>
      <c r="G53" s="69">
        <v>1.64467376848628</v>
      </c>
      <c r="H53" s="69">
        <v>0.432</v>
      </c>
      <c r="I53" s="69" t="s">
        <v>181</v>
      </c>
      <c r="J53" s="69" t="s">
        <v>38</v>
      </c>
      <c r="K53" s="212" t="s">
        <v>48</v>
      </c>
      <c r="L53" s="186" t="s">
        <v>182</v>
      </c>
      <c r="M53" s="69" t="str">
        <f>CapacityTable[[#This Row],[Model]]&amp;CapacityTable[[#This Row],[Type]]&amp;CapacityTable[[#This Row],[T ext]]&amp;CapacityTable[[#This Row],[T water out]]&amp;CapacityTable[[#This Row],[Results origin]]</f>
        <v>BLW Mono 6.1Best COP-2050Simulation values</v>
      </c>
    </row>
    <row r="54" spans="1:13" x14ac:dyDescent="0.25">
      <c r="A54" t="s">
        <v>23</v>
      </c>
      <c r="B54" s="68" t="s">
        <v>165</v>
      </c>
      <c r="C54" s="92">
        <v>-15</v>
      </c>
      <c r="D54" s="68">
        <v>55</v>
      </c>
      <c r="E54" s="69">
        <v>4.02655547762319</v>
      </c>
      <c r="F54" s="69">
        <v>2.3063165457620713</v>
      </c>
      <c r="G54" s="69">
        <v>1.7377192921457301</v>
      </c>
      <c r="H54" s="69">
        <v>0.44011980809282158</v>
      </c>
      <c r="I54" s="69" t="s">
        <v>181</v>
      </c>
      <c r="J54" s="69" t="s">
        <v>38</v>
      </c>
      <c r="K54" s="212" t="s">
        <v>48</v>
      </c>
      <c r="L54" s="186" t="s">
        <v>186</v>
      </c>
      <c r="M54" s="69" t="str">
        <f>CapacityTable[[#This Row],[Model]]&amp;CapacityTable[[#This Row],[Type]]&amp;CapacityTable[[#This Row],[T ext]]&amp;CapacityTable[[#This Row],[T water out]]&amp;CapacityTable[[#This Row],[Results origin]]</f>
        <v>BLW Mono 6.1Max power-1555Simulation values</v>
      </c>
    </row>
    <row r="55" spans="1:13" x14ac:dyDescent="0.25">
      <c r="A55" t="s">
        <v>23</v>
      </c>
      <c r="B55" s="68" t="s">
        <v>165</v>
      </c>
      <c r="C55" s="92">
        <v>-15</v>
      </c>
      <c r="D55" s="68">
        <v>60</v>
      </c>
      <c r="E55" s="69">
        <v>3.98334677825122</v>
      </c>
      <c r="F55" s="69">
        <v>2.436158625467427</v>
      </c>
      <c r="G55" s="69">
        <v>1.6283795574311799</v>
      </c>
      <c r="H55" s="69">
        <v>0.432</v>
      </c>
      <c r="I55" s="69" t="s">
        <v>181</v>
      </c>
      <c r="J55" s="69" t="s">
        <v>38</v>
      </c>
      <c r="K55" s="212" t="s">
        <v>48</v>
      </c>
      <c r="L55" s="186" t="s">
        <v>182</v>
      </c>
      <c r="M55" s="69" t="str">
        <f>CapacityTable[[#This Row],[Model]]&amp;CapacityTable[[#This Row],[Type]]&amp;CapacityTable[[#This Row],[T ext]]&amp;CapacityTable[[#This Row],[T water out]]&amp;CapacityTable[[#This Row],[Results origin]]</f>
        <v>BLW Mono 6.1Max power-1560Simulation values</v>
      </c>
    </row>
    <row r="56" spans="1:13" x14ac:dyDescent="0.25">
      <c r="A56" t="s">
        <v>23</v>
      </c>
      <c r="B56" s="68" t="s">
        <v>165</v>
      </c>
      <c r="C56" s="92">
        <v>-15</v>
      </c>
      <c r="D56" s="92">
        <v>65</v>
      </c>
      <c r="E56" s="69">
        <v>3.9385265416778701</v>
      </c>
      <c r="F56" s="69">
        <v>2.5768729175267784</v>
      </c>
      <c r="G56" s="69">
        <v>1.5229220509200101</v>
      </c>
      <c r="H56" s="69">
        <v>0.432</v>
      </c>
      <c r="I56" s="69" t="s">
        <v>181</v>
      </c>
      <c r="J56" s="69" t="s">
        <v>38</v>
      </c>
      <c r="K56" s="212" t="s">
        <v>48</v>
      </c>
      <c r="L56" s="186" t="s">
        <v>182</v>
      </c>
      <c r="M56" s="69" t="str">
        <f>CapacityTable[[#This Row],[Model]]&amp;CapacityTable[[#This Row],[Type]]&amp;CapacityTable[[#This Row],[T ext]]&amp;CapacityTable[[#This Row],[T water out]]&amp;CapacityTable[[#This Row],[Results origin]]</f>
        <v>BLW Mono 6.1Max power-1565Simulation values</v>
      </c>
    </row>
    <row r="57" spans="1:13" x14ac:dyDescent="0.25">
      <c r="A57" t="s">
        <v>23</v>
      </c>
      <c r="B57" s="68" t="s">
        <v>165</v>
      </c>
      <c r="C57" s="92">
        <v>-15</v>
      </c>
      <c r="D57" s="68">
        <v>70</v>
      </c>
      <c r="E57" s="69" t="s">
        <v>185</v>
      </c>
      <c r="F57" s="69" t="s">
        <v>185</v>
      </c>
      <c r="G57" s="69" t="s">
        <v>185</v>
      </c>
      <c r="H57" s="69" t="s">
        <v>185</v>
      </c>
      <c r="I57" s="69" t="s">
        <v>181</v>
      </c>
      <c r="J57" s="69" t="s">
        <v>38</v>
      </c>
      <c r="K57" s="212" t="s">
        <v>48</v>
      </c>
      <c r="L57" s="186" t="s">
        <v>182</v>
      </c>
      <c r="M57" s="69" t="str">
        <f>CapacityTable[[#This Row],[Model]]&amp;CapacityTable[[#This Row],[Type]]&amp;CapacityTable[[#This Row],[T ext]]&amp;CapacityTable[[#This Row],[T water out]]&amp;CapacityTable[[#This Row],[Results origin]]</f>
        <v>BLW Mono 6.1Max power-1570Simulation values</v>
      </c>
    </row>
    <row r="58" spans="1:13" x14ac:dyDescent="0.25">
      <c r="A58" t="s">
        <v>23</v>
      </c>
      <c r="B58" s="68" t="s">
        <v>165</v>
      </c>
      <c r="C58" s="92">
        <v>-10</v>
      </c>
      <c r="D58" s="68">
        <v>25</v>
      </c>
      <c r="E58" s="69">
        <v>5.3951766988898999</v>
      </c>
      <c r="F58" s="69">
        <v>1.7544784352456266</v>
      </c>
      <c r="G58" s="69">
        <v>3.0513876701359699</v>
      </c>
      <c r="H58" s="69">
        <v>0.93326974194593526</v>
      </c>
      <c r="I58" s="69" t="s">
        <v>181</v>
      </c>
      <c r="J58" s="69" t="s">
        <v>38</v>
      </c>
      <c r="K58" s="212" t="s">
        <v>48</v>
      </c>
      <c r="L58" s="186" t="s">
        <v>182</v>
      </c>
      <c r="M58" s="69" t="str">
        <f>CapacityTable[[#This Row],[Model]]&amp;CapacityTable[[#This Row],[Type]]&amp;CapacityTable[[#This Row],[T ext]]&amp;CapacityTable[[#This Row],[T water out]]&amp;CapacityTable[[#This Row],[Results origin]]</f>
        <v>BLW Mono 6.1Max power-1025Simulation values</v>
      </c>
    </row>
    <row r="59" spans="1:13" x14ac:dyDescent="0.25">
      <c r="A59" t="s">
        <v>23</v>
      </c>
      <c r="B59" s="68" t="s">
        <v>165</v>
      </c>
      <c r="C59" s="92">
        <v>-10</v>
      </c>
      <c r="D59" s="92">
        <v>35</v>
      </c>
      <c r="E59" s="69">
        <v>5.1869464147613202</v>
      </c>
      <c r="F59" s="69">
        <v>2.0252217223557532</v>
      </c>
      <c r="G59" s="69">
        <v>2.5442955014391702</v>
      </c>
      <c r="H59" s="69">
        <v>0.90077516654461198</v>
      </c>
      <c r="I59" s="69" t="s">
        <v>181</v>
      </c>
      <c r="J59" s="69" t="s">
        <v>38</v>
      </c>
      <c r="K59" s="213" t="s">
        <v>183</v>
      </c>
      <c r="L59" s="69"/>
      <c r="M59" s="69" t="str">
        <f>CapacityTable[[#This Row],[Model]]&amp;CapacityTable[[#This Row],[Type]]&amp;CapacityTable[[#This Row],[T ext]]&amp;CapacityTable[[#This Row],[T water out]]&amp;CapacityTable[[#This Row],[Results origin]]</f>
        <v>BLW Mono 6.1Max power-1035Simulation values</v>
      </c>
    </row>
    <row r="60" spans="1:13" x14ac:dyDescent="0.25">
      <c r="A60" t="s">
        <v>25</v>
      </c>
      <c r="B60" s="68" t="s">
        <v>165</v>
      </c>
      <c r="C60" s="92">
        <v>-20</v>
      </c>
      <c r="D60" s="68">
        <v>50</v>
      </c>
      <c r="E60" s="69">
        <v>5.53879912467072</v>
      </c>
      <c r="F60" s="69">
        <v>2.9541508704966479</v>
      </c>
      <c r="G60" s="69">
        <v>1.87492087150564</v>
      </c>
      <c r="H60" s="69">
        <v>0.74999999999999878</v>
      </c>
      <c r="I60" s="69" t="s">
        <v>181</v>
      </c>
      <c r="J60" s="69" t="s">
        <v>38</v>
      </c>
      <c r="K60" s="212" t="s">
        <v>48</v>
      </c>
      <c r="L60" s="186" t="s">
        <v>182</v>
      </c>
      <c r="M60" s="69" t="str">
        <f>CapacityTable[[#This Row],[Model]]&amp;CapacityTable[[#This Row],[Type]]&amp;CapacityTable[[#This Row],[T ext]]&amp;CapacityTable[[#This Row],[T water out]]&amp;CapacityTable[[#This Row],[Results origin]]</f>
        <v>BLW Mono 9.1Max power-2050Simulation values</v>
      </c>
    </row>
    <row r="61" spans="1:13" x14ac:dyDescent="0.25">
      <c r="A61" t="s">
        <v>23</v>
      </c>
      <c r="B61" s="68" t="s">
        <v>165</v>
      </c>
      <c r="C61" s="92">
        <v>-10</v>
      </c>
      <c r="D61" s="68">
        <v>40</v>
      </c>
      <c r="E61" s="69">
        <v>5.10021571628549</v>
      </c>
      <c r="F61" s="69">
        <v>2.1579408820538646</v>
      </c>
      <c r="G61" s="69">
        <v>2.3491224681449898</v>
      </c>
      <c r="H61" s="69">
        <v>0.88738600403900525</v>
      </c>
      <c r="I61" s="69" t="s">
        <v>181</v>
      </c>
      <c r="J61" s="69" t="s">
        <v>38</v>
      </c>
      <c r="K61" s="212" t="s">
        <v>48</v>
      </c>
      <c r="L61" s="186" t="s">
        <v>182</v>
      </c>
      <c r="M61" s="69" t="str">
        <f>CapacityTable[[#This Row],[Model]]&amp;CapacityTable[[#This Row],[Type]]&amp;CapacityTable[[#This Row],[T ext]]&amp;CapacityTable[[#This Row],[T water out]]&amp;CapacityTable[[#This Row],[Results origin]]</f>
        <v>BLW Mono 6.1Max power-1040Simulation values</v>
      </c>
    </row>
    <row r="62" spans="1:13" x14ac:dyDescent="0.25">
      <c r="A62" t="s">
        <v>25</v>
      </c>
      <c r="B62" s="68" t="s">
        <v>165</v>
      </c>
      <c r="C62" s="92">
        <v>-20</v>
      </c>
      <c r="D62" s="68">
        <v>55</v>
      </c>
      <c r="E62" s="69">
        <v>5.5009190007551094</v>
      </c>
      <c r="F62" s="69">
        <v>3.1332062673548631</v>
      </c>
      <c r="G62" s="69">
        <v>1.7556836452389499</v>
      </c>
      <c r="H62" s="69">
        <v>0.74999999999999878</v>
      </c>
      <c r="I62" s="69" t="s">
        <v>181</v>
      </c>
      <c r="J62" s="69" t="s">
        <v>38</v>
      </c>
      <c r="K62" s="213" t="s">
        <v>183</v>
      </c>
      <c r="L62" s="69"/>
      <c r="M62" s="69" t="str">
        <f>CapacityTable[[#This Row],[Model]]&amp;CapacityTable[[#This Row],[Type]]&amp;CapacityTable[[#This Row],[T ext]]&amp;CapacityTable[[#This Row],[T water out]]&amp;CapacityTable[[#This Row],[Results origin]]</f>
        <v>BLW Mono 9.1Max power-2055Simulation values</v>
      </c>
    </row>
    <row r="63" spans="1:13" x14ac:dyDescent="0.25">
      <c r="A63" t="s">
        <v>25</v>
      </c>
      <c r="B63" s="68" t="s">
        <v>165</v>
      </c>
      <c r="C63" s="92">
        <v>-20</v>
      </c>
      <c r="D63" s="68">
        <v>60</v>
      </c>
      <c r="E63" s="69">
        <v>5.4627546667346296</v>
      </c>
      <c r="F63" s="69">
        <v>3.3220234483649578</v>
      </c>
      <c r="G63" s="69">
        <v>1.6444058121935601</v>
      </c>
      <c r="H63" s="69">
        <v>0.74999999999999878</v>
      </c>
      <c r="I63" s="69" t="s">
        <v>181</v>
      </c>
      <c r="J63" s="69" t="s">
        <v>38</v>
      </c>
      <c r="K63" s="212" t="s">
        <v>48</v>
      </c>
      <c r="L63" s="186" t="s">
        <v>182</v>
      </c>
      <c r="M63" s="69" t="str">
        <f>CapacityTable[[#This Row],[Model]]&amp;CapacityTable[[#This Row],[Type]]&amp;CapacityTable[[#This Row],[T ext]]&amp;CapacityTable[[#This Row],[T water out]]&amp;CapacityTable[[#This Row],[Results origin]]</f>
        <v>BLW Mono 9.1Max power-2060Simulation values</v>
      </c>
    </row>
    <row r="64" spans="1:13" x14ac:dyDescent="0.25">
      <c r="A64" t="s">
        <v>25</v>
      </c>
      <c r="B64" s="68" t="s">
        <v>166</v>
      </c>
      <c r="C64" s="92">
        <v>-20</v>
      </c>
      <c r="D64" s="68">
        <v>45</v>
      </c>
      <c r="E64" s="69">
        <v>1.97605052143015</v>
      </c>
      <c r="F64" s="69">
        <v>1.1295822867462992</v>
      </c>
      <c r="G64" s="69">
        <v>1.7493639415345801</v>
      </c>
      <c r="H64" s="69">
        <v>0.74999999999999878</v>
      </c>
      <c r="I64" s="69" t="s">
        <v>181</v>
      </c>
      <c r="J64" s="69" t="s">
        <v>38</v>
      </c>
      <c r="K64" s="213" t="s">
        <v>183</v>
      </c>
      <c r="L64" s="69" t="s">
        <v>184</v>
      </c>
      <c r="M64" s="69" t="str">
        <f>CapacityTable[[#This Row],[Model]]&amp;CapacityTable[[#This Row],[Type]]&amp;CapacityTable[[#This Row],[T ext]]&amp;CapacityTable[[#This Row],[T water out]]&amp;CapacityTable[[#This Row],[Results origin]]</f>
        <v>BLW Mono 9.1Min power-2045Simulation values</v>
      </c>
    </row>
    <row r="65" spans="1:13" x14ac:dyDescent="0.25">
      <c r="A65" t="s">
        <v>25</v>
      </c>
      <c r="B65" s="68" t="s">
        <v>165</v>
      </c>
      <c r="C65" s="92">
        <v>-20</v>
      </c>
      <c r="D65" s="92">
        <v>65</v>
      </c>
      <c r="E65" s="69">
        <v>5.3100609143225199</v>
      </c>
      <c r="F65" s="69">
        <v>3.4521912248271942</v>
      </c>
      <c r="G65" s="69">
        <v>1.5381711407334699</v>
      </c>
      <c r="H65" s="69">
        <v>0.74999999999999878</v>
      </c>
      <c r="I65" s="69" t="s">
        <v>181</v>
      </c>
      <c r="J65" s="69" t="s">
        <v>38</v>
      </c>
      <c r="K65" s="213" t="s">
        <v>183</v>
      </c>
      <c r="L65" s="69"/>
      <c r="M65" s="69" t="str">
        <f>CapacityTable[[#This Row],[Model]]&amp;CapacityTable[[#This Row],[Type]]&amp;CapacityTable[[#This Row],[T ext]]&amp;CapacityTable[[#This Row],[T water out]]&amp;CapacityTable[[#This Row],[Results origin]]</f>
        <v>BLW Mono 9.1Max power-2065Simulation values</v>
      </c>
    </row>
    <row r="66" spans="1:13" x14ac:dyDescent="0.25">
      <c r="A66" t="s">
        <v>25</v>
      </c>
      <c r="B66" s="68" t="s">
        <v>166</v>
      </c>
      <c r="C66" s="92">
        <v>-20</v>
      </c>
      <c r="D66" s="68">
        <v>50</v>
      </c>
      <c r="E66" s="69">
        <v>1.93264925030569</v>
      </c>
      <c r="F66" s="69">
        <v>1.2023241915019043</v>
      </c>
      <c r="G66" s="69">
        <v>1.6074277336892699</v>
      </c>
      <c r="H66" s="69">
        <v>0.74999999999999878</v>
      </c>
      <c r="I66" s="69" t="s">
        <v>181</v>
      </c>
      <c r="J66" s="69" t="s">
        <v>38</v>
      </c>
      <c r="K66" s="212" t="s">
        <v>48</v>
      </c>
      <c r="L66" s="186" t="s">
        <v>182</v>
      </c>
      <c r="M66" s="69" t="str">
        <f>CapacityTable[[#This Row],[Model]]&amp;CapacityTable[[#This Row],[Type]]&amp;CapacityTable[[#This Row],[T ext]]&amp;CapacityTable[[#This Row],[T water out]]&amp;CapacityTable[[#This Row],[Results origin]]</f>
        <v>BLW Mono 9.1Min power-2050Simulation values</v>
      </c>
    </row>
    <row r="67" spans="1:13" x14ac:dyDescent="0.25">
      <c r="A67" t="s">
        <v>25</v>
      </c>
      <c r="B67" s="68" t="s">
        <v>156</v>
      </c>
      <c r="C67" s="92">
        <v>-20</v>
      </c>
      <c r="D67" s="92">
        <v>55</v>
      </c>
      <c r="E67" s="69">
        <v>4.6634447707789004</v>
      </c>
      <c r="F67" s="69">
        <v>2.6962584266849832</v>
      </c>
      <c r="G67" s="69">
        <v>1.7295985891502801</v>
      </c>
      <c r="H67" s="69">
        <v>0.74999999999999878</v>
      </c>
      <c r="I67" s="69" t="s">
        <v>181</v>
      </c>
      <c r="J67" s="69" t="s">
        <v>38</v>
      </c>
      <c r="K67" s="212" t="s">
        <v>48</v>
      </c>
      <c r="L67" s="186" t="s">
        <v>186</v>
      </c>
      <c r="M67" s="69" t="str">
        <f>CapacityTable[[#This Row],[Model]]&amp;CapacityTable[[#This Row],[Type]]&amp;CapacityTable[[#This Row],[T ext]]&amp;CapacityTable[[#This Row],[T water out]]&amp;CapacityTable[[#This Row],[Results origin]]</f>
        <v>BLW Mono 9.1Best COP-2055Simulation values</v>
      </c>
    </row>
    <row r="68" spans="1:13" x14ac:dyDescent="0.25">
      <c r="A68" t="s">
        <v>25</v>
      </c>
      <c r="B68" s="68" t="s">
        <v>165</v>
      </c>
      <c r="C68" s="92">
        <v>-20</v>
      </c>
      <c r="D68" s="68">
        <v>70</v>
      </c>
      <c r="E68" s="69" t="s">
        <v>185</v>
      </c>
      <c r="F68" s="69" t="s">
        <v>185</v>
      </c>
      <c r="G68" s="69" t="s">
        <v>185</v>
      </c>
      <c r="H68" s="69" t="s">
        <v>185</v>
      </c>
      <c r="I68" s="69" t="s">
        <v>181</v>
      </c>
      <c r="J68" s="69" t="s">
        <v>38</v>
      </c>
      <c r="K68" s="212" t="s">
        <v>48</v>
      </c>
      <c r="L68" s="186" t="s">
        <v>182</v>
      </c>
      <c r="M68" s="69" t="str">
        <f>CapacityTable[[#This Row],[Model]]&amp;CapacityTable[[#This Row],[Type]]&amp;CapacityTable[[#This Row],[T ext]]&amp;CapacityTable[[#This Row],[T water out]]&amp;CapacityTable[[#This Row],[Results origin]]</f>
        <v>BLW Mono 9.1Max power-2070Simulation values</v>
      </c>
    </row>
    <row r="69" spans="1:13" x14ac:dyDescent="0.25">
      <c r="A69" t="s">
        <v>23</v>
      </c>
      <c r="B69" s="68" t="s">
        <v>156</v>
      </c>
      <c r="C69" s="92">
        <v>-20</v>
      </c>
      <c r="D69" s="92">
        <v>55</v>
      </c>
      <c r="E69" s="69">
        <v>2.7584830804814402</v>
      </c>
      <c r="F69" s="69">
        <v>1.7903498601975449</v>
      </c>
      <c r="G69" s="69">
        <v>1.54075085647063</v>
      </c>
      <c r="H69" s="69">
        <v>0.432</v>
      </c>
      <c r="I69" s="69" t="s">
        <v>181</v>
      </c>
      <c r="J69" s="69" t="s">
        <v>38</v>
      </c>
      <c r="K69" s="212" t="s">
        <v>48</v>
      </c>
      <c r="L69" s="186" t="s">
        <v>186</v>
      </c>
      <c r="M69" s="69" t="str">
        <f>CapacityTable[[#This Row],[Model]]&amp;CapacityTable[[#This Row],[Type]]&amp;CapacityTable[[#This Row],[T ext]]&amp;CapacityTable[[#This Row],[T water out]]&amp;CapacityTable[[#This Row],[Results origin]]</f>
        <v>BLW Mono 6.1Best COP-2055Simulation values</v>
      </c>
    </row>
    <row r="70" spans="1:13" x14ac:dyDescent="0.25">
      <c r="A70" t="s">
        <v>25</v>
      </c>
      <c r="B70" s="68" t="s">
        <v>166</v>
      </c>
      <c r="C70" s="92">
        <v>-20</v>
      </c>
      <c r="D70" s="68">
        <v>55</v>
      </c>
      <c r="E70" s="69">
        <v>1.9073824258441701</v>
      </c>
      <c r="F70" s="69">
        <v>1.2760339408232151</v>
      </c>
      <c r="G70" s="69">
        <v>1.4947740532776499</v>
      </c>
      <c r="H70" s="69">
        <v>0.74999999999999878</v>
      </c>
      <c r="I70" s="69" t="s">
        <v>181</v>
      </c>
      <c r="J70" s="69" t="s">
        <v>38</v>
      </c>
      <c r="K70" s="213" t="s">
        <v>183</v>
      </c>
      <c r="L70" s="69" t="s">
        <v>184</v>
      </c>
      <c r="M70" s="69" t="str">
        <f>CapacityTable[[#This Row],[Model]]&amp;CapacityTable[[#This Row],[Type]]&amp;CapacityTable[[#This Row],[T ext]]&amp;CapacityTable[[#This Row],[T water out]]&amp;CapacityTable[[#This Row],[Results origin]]</f>
        <v>BLW Mono 9.1Min power-2055Simulation values</v>
      </c>
    </row>
    <row r="71" spans="1:13" x14ac:dyDescent="0.25">
      <c r="A71" t="s">
        <v>25</v>
      </c>
      <c r="B71" s="68" t="s">
        <v>165</v>
      </c>
      <c r="C71" s="92">
        <v>-15</v>
      </c>
      <c r="D71" s="68">
        <v>25</v>
      </c>
      <c r="E71" s="69">
        <v>6.8722467615825096</v>
      </c>
      <c r="F71" s="69">
        <v>2.3935206192671403</v>
      </c>
      <c r="G71" s="69">
        <v>2.8711876163768699</v>
      </c>
      <c r="H71" s="69">
        <v>1.1892034220681882</v>
      </c>
      <c r="I71" s="69" t="s">
        <v>181</v>
      </c>
      <c r="J71" s="69" t="s">
        <v>38</v>
      </c>
      <c r="K71" s="212" t="s">
        <v>48</v>
      </c>
      <c r="L71" s="186" t="s">
        <v>182</v>
      </c>
      <c r="M71" s="69" t="str">
        <f>CapacityTable[[#This Row],[Model]]&amp;CapacityTable[[#This Row],[Type]]&amp;CapacityTable[[#This Row],[T ext]]&amp;CapacityTable[[#This Row],[T water out]]&amp;CapacityTable[[#This Row],[Results origin]]</f>
        <v>BLW Mono 9.1Max power-1525Simulation values</v>
      </c>
    </row>
    <row r="72" spans="1:13" x14ac:dyDescent="0.25">
      <c r="A72" t="s">
        <v>23</v>
      </c>
      <c r="B72" s="68" t="s">
        <v>156</v>
      </c>
      <c r="C72" s="92">
        <v>-20</v>
      </c>
      <c r="D72" s="68">
        <v>60</v>
      </c>
      <c r="E72" s="69">
        <v>2.7310974882297803</v>
      </c>
      <c r="F72" s="69">
        <v>1.896787413093499</v>
      </c>
      <c r="G72" s="69">
        <v>1.4398542869786299</v>
      </c>
      <c r="H72" s="69">
        <v>0.432</v>
      </c>
      <c r="I72" s="69" t="s">
        <v>181</v>
      </c>
      <c r="J72" s="69" t="s">
        <v>38</v>
      </c>
      <c r="K72" s="212" t="s">
        <v>48</v>
      </c>
      <c r="L72" s="186" t="s">
        <v>182</v>
      </c>
      <c r="M72" s="69" t="str">
        <f>CapacityTable[[#This Row],[Model]]&amp;CapacityTable[[#This Row],[Type]]&amp;CapacityTable[[#This Row],[T ext]]&amp;CapacityTable[[#This Row],[T water out]]&amp;CapacityTable[[#This Row],[Results origin]]</f>
        <v>BLW Mono 6.1Best COP-2060Simulation values</v>
      </c>
    </row>
    <row r="73" spans="1:13" x14ac:dyDescent="0.25">
      <c r="A73" t="s">
        <v>23</v>
      </c>
      <c r="B73" s="68" t="s">
        <v>166</v>
      </c>
      <c r="C73" s="92">
        <v>-10</v>
      </c>
      <c r="D73" s="68">
        <v>45</v>
      </c>
      <c r="E73" s="69">
        <v>1.58355830719159</v>
      </c>
      <c r="F73" s="69">
        <v>0.78110661323800756</v>
      </c>
      <c r="G73" s="69">
        <v>2.0273267187267701</v>
      </c>
      <c r="H73" s="69">
        <v>0.432</v>
      </c>
      <c r="I73" s="69" t="s">
        <v>181</v>
      </c>
      <c r="J73" s="69" t="s">
        <v>38</v>
      </c>
      <c r="K73" s="212" t="s">
        <v>48</v>
      </c>
      <c r="L73" s="69"/>
      <c r="M73" s="69" t="str">
        <f>CapacityTable[[#This Row],[Model]]&amp;CapacityTable[[#This Row],[Type]]&amp;CapacityTable[[#This Row],[T ext]]&amp;CapacityTable[[#This Row],[T water out]]&amp;CapacityTable[[#This Row],[Results origin]]</f>
        <v>BLW Mono 6.1Min power-1045Simulation values</v>
      </c>
    </row>
    <row r="74" spans="1:13" x14ac:dyDescent="0.25">
      <c r="A74" t="s">
        <v>25</v>
      </c>
      <c r="B74" s="68" t="s">
        <v>165</v>
      </c>
      <c r="C74" s="92">
        <v>-15</v>
      </c>
      <c r="D74" s="68">
        <v>35</v>
      </c>
      <c r="E74" s="69">
        <v>6.7823728039136206</v>
      </c>
      <c r="F74" s="69">
        <v>2.7005758096431429</v>
      </c>
      <c r="G74" s="69">
        <v>2.5114543275161201</v>
      </c>
      <c r="H74" s="69">
        <v>1.1779680881591892</v>
      </c>
      <c r="I74" s="69" t="s">
        <v>181</v>
      </c>
      <c r="J74" s="69" t="s">
        <v>38</v>
      </c>
      <c r="K74" s="212" t="s">
        <v>48</v>
      </c>
      <c r="L74" s="186" t="s">
        <v>182</v>
      </c>
      <c r="M74" s="69" t="str">
        <f>CapacityTable[[#This Row],[Model]]&amp;CapacityTable[[#This Row],[Type]]&amp;CapacityTable[[#This Row],[T ext]]&amp;CapacityTable[[#This Row],[T water out]]&amp;CapacityTable[[#This Row],[Results origin]]</f>
        <v>BLW Mono 9.1Max power-1535Simulation values</v>
      </c>
    </row>
    <row r="75" spans="1:13" x14ac:dyDescent="0.25">
      <c r="A75" t="s">
        <v>23</v>
      </c>
      <c r="B75" s="68" t="s">
        <v>166</v>
      </c>
      <c r="C75" s="92">
        <v>-10</v>
      </c>
      <c r="D75" s="68">
        <v>50</v>
      </c>
      <c r="E75" s="69">
        <v>1.5684445695918001</v>
      </c>
      <c r="F75" s="69">
        <v>0.84334524138757538</v>
      </c>
      <c r="G75" s="69">
        <v>1.85978943452767</v>
      </c>
      <c r="H75" s="69">
        <v>0.432</v>
      </c>
      <c r="I75" s="69" t="s">
        <v>181</v>
      </c>
      <c r="J75" s="69" t="s">
        <v>38</v>
      </c>
      <c r="K75" s="212" t="s">
        <v>48</v>
      </c>
      <c r="L75" s="186"/>
      <c r="M75" s="69" t="str">
        <f>CapacityTable[[#This Row],[Model]]&amp;CapacityTable[[#This Row],[Type]]&amp;CapacityTable[[#This Row],[T ext]]&amp;CapacityTable[[#This Row],[T water out]]&amp;CapacityTable[[#This Row],[Results origin]]</f>
        <v>BLW Mono 6.1Min power-1050Simulation values</v>
      </c>
    </row>
    <row r="76" spans="1:13" x14ac:dyDescent="0.25">
      <c r="A76" t="s">
        <v>23</v>
      </c>
      <c r="B76" s="68" t="s">
        <v>165</v>
      </c>
      <c r="C76" s="92">
        <v>-10</v>
      </c>
      <c r="D76" s="92">
        <v>45</v>
      </c>
      <c r="E76" s="69">
        <v>5.0203194274312901</v>
      </c>
      <c r="F76" s="69">
        <v>2.2916330474018318</v>
      </c>
      <c r="G76" s="69">
        <v>2.1785163126515998</v>
      </c>
      <c r="H76" s="69">
        <v>0.87512102123593316</v>
      </c>
      <c r="I76" s="69" t="s">
        <v>181</v>
      </c>
      <c r="J76" s="69" t="s">
        <v>38</v>
      </c>
      <c r="K76" s="213" t="s">
        <v>183</v>
      </c>
      <c r="L76" s="69"/>
      <c r="M76" s="69" t="str">
        <f>CapacityTable[[#This Row],[Model]]&amp;CapacityTable[[#This Row],[Type]]&amp;CapacityTable[[#This Row],[T ext]]&amp;CapacityTable[[#This Row],[T water out]]&amp;CapacityTable[[#This Row],[Results origin]]</f>
        <v>BLW Mono 6.1Max power-1045Simulation values</v>
      </c>
    </row>
    <row r="77" spans="1:13" x14ac:dyDescent="0.25">
      <c r="A77" t="s">
        <v>25</v>
      </c>
      <c r="B77" s="68" t="s">
        <v>165</v>
      </c>
      <c r="C77" s="92">
        <v>-15</v>
      </c>
      <c r="D77" s="68">
        <v>40</v>
      </c>
      <c r="E77" s="69">
        <v>6.7310953230028101</v>
      </c>
      <c r="F77" s="69">
        <v>2.8739786785165888</v>
      </c>
      <c r="G77" s="69">
        <v>2.3420825538194601</v>
      </c>
      <c r="H77" s="69">
        <v>1.1711683905224219</v>
      </c>
      <c r="I77" s="69" t="s">
        <v>181</v>
      </c>
      <c r="J77" s="69" t="s">
        <v>38</v>
      </c>
      <c r="K77" s="212" t="s">
        <v>48</v>
      </c>
      <c r="L77" s="186" t="s">
        <v>182</v>
      </c>
      <c r="M77" s="69" t="str">
        <f>CapacityTable[[#This Row],[Model]]&amp;CapacityTable[[#This Row],[Type]]&amp;CapacityTable[[#This Row],[T ext]]&amp;CapacityTable[[#This Row],[T water out]]&amp;CapacityTable[[#This Row],[Results origin]]</f>
        <v>BLW Mono 9.1Max power-1540Simulation values</v>
      </c>
    </row>
    <row r="78" spans="1:13" x14ac:dyDescent="0.25">
      <c r="A78" t="s">
        <v>23</v>
      </c>
      <c r="B78" s="68" t="s">
        <v>165</v>
      </c>
      <c r="C78" s="92">
        <v>-10</v>
      </c>
      <c r="D78" s="68">
        <v>50</v>
      </c>
      <c r="E78" s="69">
        <v>4.9602184154607203</v>
      </c>
      <c r="F78" s="69">
        <v>2.391621165280998</v>
      </c>
      <c r="G78" s="69">
        <v>2.0622788196473398</v>
      </c>
      <c r="H78" s="69">
        <v>0.54094239534683153</v>
      </c>
      <c r="I78" s="69" t="s">
        <v>181</v>
      </c>
      <c r="J78" s="69" t="s">
        <v>38</v>
      </c>
      <c r="K78" s="212" t="s">
        <v>48</v>
      </c>
      <c r="L78" s="186" t="s">
        <v>182</v>
      </c>
      <c r="M78" s="69" t="str">
        <f>CapacityTable[[#This Row],[Model]]&amp;CapacityTable[[#This Row],[Type]]&amp;CapacityTable[[#This Row],[T ext]]&amp;CapacityTable[[#This Row],[T water out]]&amp;CapacityTable[[#This Row],[Results origin]]</f>
        <v>BLW Mono 6.1Max power-1050Simulation values</v>
      </c>
    </row>
    <row r="79" spans="1:13" x14ac:dyDescent="0.25">
      <c r="A79" t="s">
        <v>25</v>
      </c>
      <c r="B79" s="68" t="s">
        <v>165</v>
      </c>
      <c r="C79" s="92">
        <v>-15</v>
      </c>
      <c r="D79" s="68">
        <v>45</v>
      </c>
      <c r="E79" s="69">
        <v>6.6773455098594603</v>
      </c>
      <c r="F79" s="69">
        <v>3.0602432402477571</v>
      </c>
      <c r="G79" s="69">
        <v>2.1819656104587501</v>
      </c>
      <c r="H79" s="69">
        <v>1.1639060330627558</v>
      </c>
      <c r="I79" s="69" t="s">
        <v>181</v>
      </c>
      <c r="J79" s="69" t="s">
        <v>38</v>
      </c>
      <c r="K79" s="212" t="s">
        <v>48</v>
      </c>
      <c r="L79" s="186" t="s">
        <v>182</v>
      </c>
      <c r="M79" s="69" t="str">
        <f>CapacityTable[[#This Row],[Model]]&amp;CapacityTable[[#This Row],[Type]]&amp;CapacityTable[[#This Row],[T ext]]&amp;CapacityTable[[#This Row],[T water out]]&amp;CapacityTable[[#This Row],[Results origin]]</f>
        <v>BLW Mono 9.1Max power-1545Simulation values</v>
      </c>
    </row>
    <row r="80" spans="1:13" x14ac:dyDescent="0.25">
      <c r="A80" t="s">
        <v>25</v>
      </c>
      <c r="B80" s="68" t="s">
        <v>165</v>
      </c>
      <c r="C80" s="92">
        <v>-15</v>
      </c>
      <c r="D80" s="68">
        <v>50</v>
      </c>
      <c r="E80" s="69">
        <v>6.6257805153927105</v>
      </c>
      <c r="F80" s="69">
        <v>3.2134187424499614</v>
      </c>
      <c r="G80" s="69">
        <v>2.0619100859357999</v>
      </c>
      <c r="H80" s="69">
        <v>0.74999999999999878</v>
      </c>
      <c r="I80" s="69" t="s">
        <v>181</v>
      </c>
      <c r="J80" s="69" t="s">
        <v>38</v>
      </c>
      <c r="K80" s="212" t="s">
        <v>48</v>
      </c>
      <c r="L80" s="186" t="s">
        <v>182</v>
      </c>
      <c r="M80" s="69" t="str">
        <f>CapacityTable[[#This Row],[Model]]&amp;CapacityTable[[#This Row],[Type]]&amp;CapacityTable[[#This Row],[T ext]]&amp;CapacityTable[[#This Row],[T water out]]&amp;CapacityTable[[#This Row],[Results origin]]</f>
        <v>BLW Mono 9.1Max power-1550Simulation values</v>
      </c>
    </row>
    <row r="81" spans="1:13" x14ac:dyDescent="0.25">
      <c r="A81" t="s">
        <v>25</v>
      </c>
      <c r="B81" s="68" t="s">
        <v>165</v>
      </c>
      <c r="C81" s="92">
        <v>-15</v>
      </c>
      <c r="D81" s="68">
        <v>55</v>
      </c>
      <c r="E81" s="69">
        <v>6.5610606727322702</v>
      </c>
      <c r="F81" s="69">
        <v>3.4196431993010901</v>
      </c>
      <c r="G81" s="69">
        <v>1.91863896036675</v>
      </c>
      <c r="H81" s="69">
        <v>0.74999999999999878</v>
      </c>
      <c r="I81" s="69" t="s">
        <v>181</v>
      </c>
      <c r="J81" s="69" t="s">
        <v>38</v>
      </c>
      <c r="K81" s="212" t="s">
        <v>48</v>
      </c>
      <c r="L81" s="186" t="s">
        <v>186</v>
      </c>
      <c r="M81" s="69" t="str">
        <f>CapacityTable[[#This Row],[Model]]&amp;CapacityTable[[#This Row],[Type]]&amp;CapacityTable[[#This Row],[T ext]]&amp;CapacityTable[[#This Row],[T water out]]&amp;CapacityTable[[#This Row],[Results origin]]</f>
        <v>BLW Mono 9.1Max power-1555Simulation values</v>
      </c>
    </row>
    <row r="82" spans="1:13" x14ac:dyDescent="0.25">
      <c r="A82" t="s">
        <v>25</v>
      </c>
      <c r="B82" s="68" t="s">
        <v>166</v>
      </c>
      <c r="C82" s="92">
        <v>-20</v>
      </c>
      <c r="D82" s="68">
        <v>60</v>
      </c>
      <c r="E82" s="69">
        <v>1.8991227106940001</v>
      </c>
      <c r="F82" s="69">
        <v>1.3507278990513507</v>
      </c>
      <c r="G82" s="69">
        <v>1.4059994703802301</v>
      </c>
      <c r="H82" s="69">
        <v>0.74999999999999878</v>
      </c>
      <c r="I82" s="69" t="s">
        <v>181</v>
      </c>
      <c r="J82" s="69" t="s">
        <v>38</v>
      </c>
      <c r="K82" s="212" t="s">
        <v>48</v>
      </c>
      <c r="L82" s="186" t="s">
        <v>182</v>
      </c>
      <c r="M82" s="69" t="str">
        <f>CapacityTable[[#This Row],[Model]]&amp;CapacityTable[[#This Row],[Type]]&amp;CapacityTable[[#This Row],[T ext]]&amp;CapacityTable[[#This Row],[T water out]]&amp;CapacityTable[[#This Row],[Results origin]]</f>
        <v>BLW Mono 9.1Min power-2060Simulation values</v>
      </c>
    </row>
    <row r="83" spans="1:13" x14ac:dyDescent="0.25">
      <c r="A83" t="s">
        <v>25</v>
      </c>
      <c r="B83" s="68" t="s">
        <v>165</v>
      </c>
      <c r="C83" s="92">
        <v>-15</v>
      </c>
      <c r="D83" s="68">
        <v>60</v>
      </c>
      <c r="E83" s="69">
        <v>6.48929142380688</v>
      </c>
      <c r="F83" s="69">
        <v>3.6364487403555059</v>
      </c>
      <c r="G83" s="69">
        <v>1.7845133775136</v>
      </c>
      <c r="H83" s="69">
        <v>0.74999999999999878</v>
      </c>
      <c r="I83" s="69" t="s">
        <v>181</v>
      </c>
      <c r="J83" s="69" t="s">
        <v>38</v>
      </c>
      <c r="K83" s="212" t="s">
        <v>48</v>
      </c>
      <c r="L83" s="186" t="s">
        <v>182</v>
      </c>
      <c r="M83" s="69" t="str">
        <f>CapacityTable[[#This Row],[Model]]&amp;CapacityTable[[#This Row],[Type]]&amp;CapacityTable[[#This Row],[T ext]]&amp;CapacityTable[[#This Row],[T water out]]&amp;CapacityTable[[#This Row],[Results origin]]</f>
        <v>BLW Mono 9.1Max power-1560Simulation values</v>
      </c>
    </row>
    <row r="84" spans="1:13" x14ac:dyDescent="0.25">
      <c r="A84" t="s">
        <v>25</v>
      </c>
      <c r="B84" s="68" t="s">
        <v>165</v>
      </c>
      <c r="C84" s="92">
        <v>-15</v>
      </c>
      <c r="D84" s="92">
        <v>65</v>
      </c>
      <c r="E84" s="69">
        <v>6.4157442650338199</v>
      </c>
      <c r="F84" s="69">
        <v>3.8628228343387705</v>
      </c>
      <c r="G84" s="69">
        <v>1.6608952934627801</v>
      </c>
      <c r="H84" s="69">
        <v>0.74999999999999878</v>
      </c>
      <c r="I84" s="69" t="s">
        <v>181</v>
      </c>
      <c r="J84" s="69" t="s">
        <v>38</v>
      </c>
      <c r="K84" s="212" t="s">
        <v>48</v>
      </c>
      <c r="L84" s="186" t="s">
        <v>182</v>
      </c>
      <c r="M84" s="69" t="str">
        <f>CapacityTable[[#This Row],[Model]]&amp;CapacityTable[[#This Row],[Type]]&amp;CapacityTable[[#This Row],[T ext]]&amp;CapacityTable[[#This Row],[T water out]]&amp;CapacityTable[[#This Row],[Results origin]]</f>
        <v>BLW Mono 9.1Max power-1565Simulation values</v>
      </c>
    </row>
    <row r="85" spans="1:13" x14ac:dyDescent="0.25">
      <c r="A85" t="s">
        <v>25</v>
      </c>
      <c r="B85" s="68" t="s">
        <v>165</v>
      </c>
      <c r="C85" s="92">
        <v>-15</v>
      </c>
      <c r="D85" s="68">
        <v>70</v>
      </c>
      <c r="E85" s="69" t="s">
        <v>185</v>
      </c>
      <c r="F85" s="69" t="s">
        <v>185</v>
      </c>
      <c r="G85" s="69" t="s">
        <v>185</v>
      </c>
      <c r="H85" s="69" t="s">
        <v>185</v>
      </c>
      <c r="I85" s="69" t="s">
        <v>181</v>
      </c>
      <c r="J85" s="69" t="s">
        <v>38</v>
      </c>
      <c r="K85" s="212" t="s">
        <v>48</v>
      </c>
      <c r="L85" s="186" t="s">
        <v>182</v>
      </c>
      <c r="M85" s="69" t="str">
        <f>CapacityTable[[#This Row],[Model]]&amp;CapacityTable[[#This Row],[Type]]&amp;CapacityTable[[#This Row],[T ext]]&amp;CapacityTable[[#This Row],[T water out]]&amp;CapacityTable[[#This Row],[Results origin]]</f>
        <v>BLW Mono 9.1Max power-1570Simulation values</v>
      </c>
    </row>
    <row r="86" spans="1:13" x14ac:dyDescent="0.25">
      <c r="A86" t="s">
        <v>25</v>
      </c>
      <c r="B86" s="68" t="s">
        <v>165</v>
      </c>
      <c r="C86" s="92">
        <v>-10</v>
      </c>
      <c r="D86" s="68">
        <v>25</v>
      </c>
      <c r="E86" s="69">
        <v>8.0109520836098298</v>
      </c>
      <c r="F86" s="69">
        <v>2.5751728264435978</v>
      </c>
      <c r="G86" s="69">
        <v>3.1108405623684798</v>
      </c>
      <c r="H86" s="69">
        <v>1.3848671331995219</v>
      </c>
      <c r="I86" s="69" t="s">
        <v>181</v>
      </c>
      <c r="J86" s="69" t="s">
        <v>38</v>
      </c>
      <c r="K86" s="212" t="s">
        <v>48</v>
      </c>
      <c r="L86" s="186" t="s">
        <v>182</v>
      </c>
      <c r="M86" s="69" t="str">
        <f>CapacityTable[[#This Row],[Model]]&amp;CapacityTable[[#This Row],[Type]]&amp;CapacityTable[[#This Row],[T ext]]&amp;CapacityTable[[#This Row],[T water out]]&amp;CapacityTable[[#This Row],[Results origin]]</f>
        <v>BLW Mono 9.1Max power-1025Simulation values</v>
      </c>
    </row>
    <row r="87" spans="1:13" x14ac:dyDescent="0.25">
      <c r="A87" t="s">
        <v>25</v>
      </c>
      <c r="B87" s="68" t="s">
        <v>165</v>
      </c>
      <c r="C87" s="92">
        <v>-10</v>
      </c>
      <c r="D87" s="68">
        <v>35</v>
      </c>
      <c r="E87" s="69">
        <v>7.8771834552461293</v>
      </c>
      <c r="F87" s="69">
        <v>2.911854573162346</v>
      </c>
      <c r="G87" s="69">
        <v>2.70521183573097</v>
      </c>
      <c r="H87" s="69">
        <v>1.3668188706897948</v>
      </c>
      <c r="I87" s="69" t="s">
        <v>181</v>
      </c>
      <c r="J87" s="69" t="s">
        <v>38</v>
      </c>
      <c r="K87" s="213" t="s">
        <v>183</v>
      </c>
      <c r="L87" s="69"/>
      <c r="M87" s="69" t="str">
        <f>CapacityTable[[#This Row],[Model]]&amp;CapacityTable[[#This Row],[Type]]&amp;CapacityTable[[#This Row],[T ext]]&amp;CapacityTable[[#This Row],[T water out]]&amp;CapacityTable[[#This Row],[Results origin]]</f>
        <v>BLW Mono 9.1Max power-1035Simulation values</v>
      </c>
    </row>
    <row r="88" spans="1:13" x14ac:dyDescent="0.25">
      <c r="A88" t="s">
        <v>25</v>
      </c>
      <c r="B88" s="68" t="s">
        <v>165</v>
      </c>
      <c r="C88" s="92">
        <v>-10</v>
      </c>
      <c r="D88" s="68">
        <v>40</v>
      </c>
      <c r="E88" s="69">
        <v>7.8052363197162702</v>
      </c>
      <c r="F88" s="69">
        <v>3.1032886846717838</v>
      </c>
      <c r="G88" s="69">
        <v>2.5151499305459502</v>
      </c>
      <c r="H88" s="69">
        <v>1.3568062408705333</v>
      </c>
      <c r="I88" s="69" t="s">
        <v>181</v>
      </c>
      <c r="J88" s="69" t="s">
        <v>38</v>
      </c>
      <c r="K88" s="212" t="s">
        <v>48</v>
      </c>
      <c r="L88" s="186" t="s">
        <v>182</v>
      </c>
      <c r="M88" s="69" t="str">
        <f>CapacityTable[[#This Row],[Model]]&amp;CapacityTable[[#This Row],[Type]]&amp;CapacityTable[[#This Row],[T ext]]&amp;CapacityTable[[#This Row],[T water out]]&amp;CapacityTable[[#This Row],[Results origin]]</f>
        <v>BLW Mono 9.1Max power-1040Simulation values</v>
      </c>
    </row>
    <row r="89" spans="1:13" x14ac:dyDescent="0.25">
      <c r="A89" t="s">
        <v>25</v>
      </c>
      <c r="B89" s="68" t="s">
        <v>165</v>
      </c>
      <c r="C89" s="92">
        <v>-10</v>
      </c>
      <c r="D89" s="68">
        <v>45</v>
      </c>
      <c r="E89" s="69">
        <v>7.7294901023145703</v>
      </c>
      <c r="F89" s="69">
        <v>3.3099160662226255</v>
      </c>
      <c r="G89" s="69">
        <v>2.33525260087205</v>
      </c>
      <c r="H89" s="69">
        <v>1.3460906761405884</v>
      </c>
      <c r="I89" s="69" t="s">
        <v>181</v>
      </c>
      <c r="J89" s="69" t="s">
        <v>38</v>
      </c>
      <c r="K89" s="213" t="s">
        <v>183</v>
      </c>
      <c r="L89" s="69"/>
      <c r="M89" s="69" t="str">
        <f>CapacityTable[[#This Row],[Model]]&amp;CapacityTable[[#This Row],[Type]]&amp;CapacityTable[[#This Row],[T ext]]&amp;CapacityTable[[#This Row],[T water out]]&amp;CapacityTable[[#This Row],[Results origin]]</f>
        <v>BLW Mono 9.1Max power-1045Simulation values</v>
      </c>
    </row>
    <row r="90" spans="1:13" x14ac:dyDescent="0.25">
      <c r="A90" t="s">
        <v>25</v>
      </c>
      <c r="B90" s="68" t="s">
        <v>165</v>
      </c>
      <c r="C90" s="92">
        <v>-10</v>
      </c>
      <c r="D90" s="68">
        <v>50</v>
      </c>
      <c r="E90" s="69">
        <v>7.6661741249366697</v>
      </c>
      <c r="F90" s="69">
        <v>3.4736207575166476</v>
      </c>
      <c r="G90" s="69">
        <v>2.2069692289659599</v>
      </c>
      <c r="H90" s="69">
        <v>0.83542655618670958</v>
      </c>
      <c r="I90" s="69" t="s">
        <v>181</v>
      </c>
      <c r="J90" s="69" t="s">
        <v>38</v>
      </c>
      <c r="K90" s="212" t="s">
        <v>48</v>
      </c>
      <c r="L90" s="186" t="s">
        <v>182</v>
      </c>
      <c r="M90" s="69" t="str">
        <f>CapacityTable[[#This Row],[Model]]&amp;CapacityTable[[#This Row],[Type]]&amp;CapacityTable[[#This Row],[T ext]]&amp;CapacityTable[[#This Row],[T water out]]&amp;CapacityTable[[#This Row],[Results origin]]</f>
        <v>BLW Mono 9.1Max power-1050Simulation values</v>
      </c>
    </row>
    <row r="91" spans="1:13" x14ac:dyDescent="0.25">
      <c r="A91" t="s">
        <v>25</v>
      </c>
      <c r="B91" s="68" t="s">
        <v>166</v>
      </c>
      <c r="C91" s="92">
        <v>-20</v>
      </c>
      <c r="D91" s="92">
        <v>65</v>
      </c>
      <c r="E91" s="69">
        <v>1.9057884864125001</v>
      </c>
      <c r="F91" s="69">
        <v>1.4263664294636937</v>
      </c>
      <c r="G91" s="69">
        <v>1.33611423197128</v>
      </c>
      <c r="H91" s="69">
        <v>0.74999999999999878</v>
      </c>
      <c r="I91" s="69" t="s">
        <v>181</v>
      </c>
      <c r="J91" s="69" t="s">
        <v>38</v>
      </c>
      <c r="K91" s="213" t="s">
        <v>183</v>
      </c>
      <c r="L91" s="69" t="s">
        <v>184</v>
      </c>
      <c r="M91" s="69" t="str">
        <f>CapacityTable[[#This Row],[Model]]&amp;CapacityTable[[#This Row],[Type]]&amp;CapacityTable[[#This Row],[T ext]]&amp;CapacityTable[[#This Row],[T water out]]&amp;CapacityTable[[#This Row],[Results origin]]</f>
        <v>BLW Mono 9.1Min power-2065Simulation values</v>
      </c>
    </row>
    <row r="92" spans="1:13" x14ac:dyDescent="0.25">
      <c r="A92" t="s">
        <v>25</v>
      </c>
      <c r="B92" s="68" t="s">
        <v>166</v>
      </c>
      <c r="C92" s="92">
        <v>-20</v>
      </c>
      <c r="D92" s="68">
        <v>70</v>
      </c>
      <c r="E92" s="69" t="s">
        <v>185</v>
      </c>
      <c r="F92" s="69" t="s">
        <v>185</v>
      </c>
      <c r="G92" s="69" t="s">
        <v>185</v>
      </c>
      <c r="H92" s="69" t="s">
        <v>185</v>
      </c>
      <c r="I92" s="69" t="s">
        <v>181</v>
      </c>
      <c r="J92" s="69" t="s">
        <v>38</v>
      </c>
      <c r="K92" s="212" t="s">
        <v>48</v>
      </c>
      <c r="L92" s="186" t="s">
        <v>182</v>
      </c>
      <c r="M92" s="69" t="str">
        <f>CapacityTable[[#This Row],[Model]]&amp;CapacityTable[[#This Row],[Type]]&amp;CapacityTable[[#This Row],[T ext]]&amp;CapacityTable[[#This Row],[T water out]]&amp;CapacityTable[[#This Row],[Results origin]]</f>
        <v>BLW Mono 9.1Min power-2070Simulation values</v>
      </c>
    </row>
    <row r="93" spans="1:13" x14ac:dyDescent="0.25">
      <c r="A93" t="s">
        <v>25</v>
      </c>
      <c r="B93" s="68" t="s">
        <v>156</v>
      </c>
      <c r="C93" s="92">
        <v>-20</v>
      </c>
      <c r="D93" s="68">
        <v>60</v>
      </c>
      <c r="E93" s="69">
        <v>4.6327263737571505</v>
      </c>
      <c r="F93" s="69">
        <v>2.8617399911304306</v>
      </c>
      <c r="G93" s="69">
        <v>1.6188495069837401</v>
      </c>
      <c r="H93" s="69">
        <v>0.74999999999999878</v>
      </c>
      <c r="I93" s="69" t="s">
        <v>181</v>
      </c>
      <c r="J93" s="69" t="s">
        <v>38</v>
      </c>
      <c r="K93" s="212" t="s">
        <v>48</v>
      </c>
      <c r="L93" s="186" t="s">
        <v>182</v>
      </c>
      <c r="M93" s="69" t="str">
        <f>CapacityTable[[#This Row],[Model]]&amp;CapacityTable[[#This Row],[Type]]&amp;CapacityTable[[#This Row],[T ext]]&amp;CapacityTable[[#This Row],[T water out]]&amp;CapacityTable[[#This Row],[Results origin]]</f>
        <v>BLW Mono 9.1Best COP-2060Simulation values</v>
      </c>
    </row>
    <row r="94" spans="1:13" x14ac:dyDescent="0.25">
      <c r="A94" t="s">
        <v>25</v>
      </c>
      <c r="B94" s="68" t="s">
        <v>166</v>
      </c>
      <c r="C94" s="92">
        <v>-15</v>
      </c>
      <c r="D94" s="68">
        <v>25</v>
      </c>
      <c r="E94" s="69">
        <v>2.7636733164681901</v>
      </c>
      <c r="F94" s="69">
        <v>0.86275740815991731</v>
      </c>
      <c r="G94" s="69">
        <v>3.2033029103308799</v>
      </c>
      <c r="H94" s="69">
        <v>0.74999999999999878</v>
      </c>
      <c r="I94" s="69" t="s">
        <v>181</v>
      </c>
      <c r="J94" s="69" t="s">
        <v>38</v>
      </c>
      <c r="K94" s="212" t="s">
        <v>48</v>
      </c>
      <c r="L94" s="186" t="s">
        <v>182</v>
      </c>
      <c r="M94" s="69" t="str">
        <f>CapacityTable[[#This Row],[Model]]&amp;CapacityTable[[#This Row],[Type]]&amp;CapacityTable[[#This Row],[T ext]]&amp;CapacityTable[[#This Row],[T water out]]&amp;CapacityTable[[#This Row],[Results origin]]</f>
        <v>BLW Mono 9.1Min power-1525Simulation values</v>
      </c>
    </row>
    <row r="95" spans="1:13" x14ac:dyDescent="0.25">
      <c r="A95" t="s">
        <v>23</v>
      </c>
      <c r="B95" s="68" t="s">
        <v>156</v>
      </c>
      <c r="C95" s="92">
        <v>-20</v>
      </c>
      <c r="D95" s="92">
        <v>65</v>
      </c>
      <c r="E95" s="69">
        <v>2.7004866463499102</v>
      </c>
      <c r="F95" s="69">
        <v>2.0129186454030621</v>
      </c>
      <c r="G95" s="69">
        <v>1.3415776402673101</v>
      </c>
      <c r="H95" s="69">
        <v>0.432</v>
      </c>
      <c r="I95" s="69" t="s">
        <v>181</v>
      </c>
      <c r="J95" s="69" t="s">
        <v>38</v>
      </c>
      <c r="K95" s="212" t="s">
        <v>48</v>
      </c>
      <c r="L95" s="186" t="s">
        <v>182</v>
      </c>
      <c r="M95" s="69" t="str">
        <f>CapacityTable[[#This Row],[Model]]&amp;CapacityTable[[#This Row],[Type]]&amp;CapacityTable[[#This Row],[T ext]]&amp;CapacityTable[[#This Row],[T water out]]&amp;CapacityTable[[#This Row],[Results origin]]</f>
        <v>BLW Mono 6.1Best COP-2065Simulation values</v>
      </c>
    </row>
    <row r="96" spans="1:13" x14ac:dyDescent="0.25">
      <c r="A96" t="s">
        <v>25</v>
      </c>
      <c r="B96" s="68" t="s">
        <v>156</v>
      </c>
      <c r="C96" s="92">
        <v>-20</v>
      </c>
      <c r="D96" s="92">
        <v>65</v>
      </c>
      <c r="E96" s="69">
        <v>4.6068611374489699</v>
      </c>
      <c r="F96" s="69">
        <v>3.0348805091588136</v>
      </c>
      <c r="G96" s="69">
        <v>1.5179711766397901</v>
      </c>
      <c r="H96" s="69">
        <v>0.74999999999999878</v>
      </c>
      <c r="I96" s="69" t="s">
        <v>181</v>
      </c>
      <c r="J96" s="69" t="s">
        <v>38</v>
      </c>
      <c r="K96" s="212" t="s">
        <v>48</v>
      </c>
      <c r="L96" s="186" t="s">
        <v>182</v>
      </c>
      <c r="M96" s="69" t="str">
        <f>CapacityTable[[#This Row],[Model]]&amp;CapacityTable[[#This Row],[Type]]&amp;CapacityTable[[#This Row],[T ext]]&amp;CapacityTable[[#This Row],[T water out]]&amp;CapacityTable[[#This Row],[Results origin]]</f>
        <v>BLW Mono 9.1Best COP-2065Simulation values</v>
      </c>
    </row>
    <row r="97" spans="1:13" x14ac:dyDescent="0.25">
      <c r="A97" t="s">
        <v>25</v>
      </c>
      <c r="B97" s="68" t="s">
        <v>166</v>
      </c>
      <c r="C97" s="92">
        <v>-15</v>
      </c>
      <c r="D97" s="68">
        <v>35</v>
      </c>
      <c r="E97" s="69">
        <v>2.5731505414467803</v>
      </c>
      <c r="F97" s="69">
        <v>1.0200037930044443</v>
      </c>
      <c r="G97" s="69">
        <v>2.5226872283165802</v>
      </c>
      <c r="H97" s="69">
        <v>0.74999999999999878</v>
      </c>
      <c r="I97" s="69" t="s">
        <v>181</v>
      </c>
      <c r="J97" s="69" t="s">
        <v>38</v>
      </c>
      <c r="K97" s="212" t="s">
        <v>48</v>
      </c>
      <c r="L97" s="186" t="s">
        <v>182</v>
      </c>
      <c r="M97" s="69" t="str">
        <f>CapacityTable[[#This Row],[Model]]&amp;CapacityTable[[#This Row],[Type]]&amp;CapacityTable[[#This Row],[T ext]]&amp;CapacityTable[[#This Row],[T water out]]&amp;CapacityTable[[#This Row],[Results origin]]</f>
        <v>BLW Mono 9.1Min power-1535Simulation values</v>
      </c>
    </row>
    <row r="98" spans="1:13" x14ac:dyDescent="0.25">
      <c r="A98" t="s">
        <v>23</v>
      </c>
      <c r="B98" s="68" t="s">
        <v>156</v>
      </c>
      <c r="C98" s="92">
        <v>-20</v>
      </c>
      <c r="D98" s="68">
        <v>70</v>
      </c>
      <c r="E98" s="69" t="s">
        <v>185</v>
      </c>
      <c r="F98" s="69" t="s">
        <v>185</v>
      </c>
      <c r="G98" s="69" t="s">
        <v>185</v>
      </c>
      <c r="H98" s="69" t="s">
        <v>185</v>
      </c>
      <c r="I98" s="69" t="s">
        <v>181</v>
      </c>
      <c r="J98" s="69" t="s">
        <v>38</v>
      </c>
      <c r="K98" s="212" t="s">
        <v>48</v>
      </c>
      <c r="L98" s="186" t="s">
        <v>182</v>
      </c>
      <c r="M98" s="69" t="str">
        <f>CapacityTable[[#This Row],[Model]]&amp;CapacityTable[[#This Row],[Type]]&amp;CapacityTable[[#This Row],[T ext]]&amp;CapacityTable[[#This Row],[T water out]]&amp;CapacityTable[[#This Row],[Results origin]]</f>
        <v>BLW Mono 6.1Best COP-2070Simulation values</v>
      </c>
    </row>
    <row r="99" spans="1:13" x14ac:dyDescent="0.25">
      <c r="A99" t="s">
        <v>25</v>
      </c>
      <c r="B99" s="68" t="s">
        <v>156</v>
      </c>
      <c r="C99" s="92">
        <v>-20</v>
      </c>
      <c r="D99" s="68">
        <v>70</v>
      </c>
      <c r="E99" s="69" t="s">
        <v>185</v>
      </c>
      <c r="F99" s="69" t="s">
        <v>185</v>
      </c>
      <c r="G99" s="69" t="s">
        <v>185</v>
      </c>
      <c r="H99" s="69" t="s">
        <v>185</v>
      </c>
      <c r="I99" s="69" t="s">
        <v>181</v>
      </c>
      <c r="J99" s="69" t="s">
        <v>38</v>
      </c>
      <c r="K99" s="212" t="s">
        <v>48</v>
      </c>
      <c r="L99" s="186" t="s">
        <v>182</v>
      </c>
      <c r="M99" s="69" t="str">
        <f>CapacityTable[[#This Row],[Model]]&amp;CapacityTable[[#This Row],[Type]]&amp;CapacityTable[[#This Row],[T ext]]&amp;CapacityTable[[#This Row],[T water out]]&amp;CapacityTable[[#This Row],[Results origin]]</f>
        <v>BLW Mono 9.1Best COP-2070Simulation values</v>
      </c>
    </row>
    <row r="100" spans="1:13" x14ac:dyDescent="0.25">
      <c r="A100" t="s">
        <v>25</v>
      </c>
      <c r="B100" s="68" t="s">
        <v>166</v>
      </c>
      <c r="C100" s="92">
        <v>-15</v>
      </c>
      <c r="D100" s="68">
        <v>40</v>
      </c>
      <c r="E100" s="69">
        <v>2.4968171490121698</v>
      </c>
      <c r="F100" s="69">
        <v>1.1023112823255505</v>
      </c>
      <c r="G100" s="69">
        <v>2.2650744749202101</v>
      </c>
      <c r="H100" s="69">
        <v>0.74999999999999878</v>
      </c>
      <c r="I100" s="69" t="s">
        <v>181</v>
      </c>
      <c r="J100" s="69" t="s">
        <v>38</v>
      </c>
      <c r="K100" s="212" t="s">
        <v>48</v>
      </c>
      <c r="L100" s="186" t="s">
        <v>182</v>
      </c>
      <c r="M100" s="69" t="str">
        <f>CapacityTable[[#This Row],[Model]]&amp;CapacityTable[[#This Row],[Type]]&amp;CapacityTable[[#This Row],[T ext]]&amp;CapacityTable[[#This Row],[T water out]]&amp;CapacityTable[[#This Row],[Results origin]]</f>
        <v>BLW Mono 9.1Min power-1540Simulation values</v>
      </c>
    </row>
    <row r="101" spans="1:13" x14ac:dyDescent="0.25">
      <c r="A101" t="s">
        <v>23</v>
      </c>
      <c r="B101" s="68" t="s">
        <v>156</v>
      </c>
      <c r="C101" s="92">
        <v>-15</v>
      </c>
      <c r="D101" s="68">
        <v>25</v>
      </c>
      <c r="E101" s="69">
        <v>2.3191272437202</v>
      </c>
      <c r="F101" s="69">
        <v>0.80285347669748286</v>
      </c>
      <c r="G101" s="69">
        <v>2.8886058428243602</v>
      </c>
      <c r="H101" s="69">
        <v>0.432</v>
      </c>
      <c r="I101" s="69" t="s">
        <v>181</v>
      </c>
      <c r="J101" s="69" t="s">
        <v>38</v>
      </c>
      <c r="K101" s="212" t="s">
        <v>48</v>
      </c>
      <c r="L101" s="186" t="s">
        <v>182</v>
      </c>
      <c r="M101" s="69" t="str">
        <f>CapacityTable[[#This Row],[Model]]&amp;CapacityTable[[#This Row],[Type]]&amp;CapacityTable[[#This Row],[T ext]]&amp;CapacityTable[[#This Row],[T water out]]&amp;CapacityTable[[#This Row],[Results origin]]</f>
        <v>BLW Mono 6.1Best COP-1525Simulation values</v>
      </c>
    </row>
    <row r="102" spans="1:13" x14ac:dyDescent="0.25">
      <c r="A102" t="s">
        <v>23</v>
      </c>
      <c r="B102" s="68" t="s">
        <v>166</v>
      </c>
      <c r="C102" s="92">
        <v>-10</v>
      </c>
      <c r="D102" s="68">
        <v>55</v>
      </c>
      <c r="E102" s="69">
        <v>1.5535773697209199</v>
      </c>
      <c r="F102" s="69">
        <v>0.91193768598588987</v>
      </c>
      <c r="G102" s="69">
        <v>1.7036003595370199</v>
      </c>
      <c r="H102" s="69">
        <v>0.432</v>
      </c>
      <c r="I102" s="69" t="s">
        <v>181</v>
      </c>
      <c r="J102" s="69" t="s">
        <v>38</v>
      </c>
      <c r="K102" s="212" t="s">
        <v>48</v>
      </c>
      <c r="L102" s="69"/>
      <c r="M102" s="69" t="str">
        <f>CapacityTable[[#This Row],[Model]]&amp;CapacityTable[[#This Row],[Type]]&amp;CapacityTable[[#This Row],[T ext]]&amp;CapacityTable[[#This Row],[T water out]]&amp;CapacityTable[[#This Row],[Results origin]]</f>
        <v>BLW Mono 6.1Min power-1055Simulation values</v>
      </c>
    </row>
    <row r="103" spans="1:13" x14ac:dyDescent="0.25">
      <c r="A103" t="s">
        <v>25</v>
      </c>
      <c r="B103" s="68" t="s">
        <v>166</v>
      </c>
      <c r="C103" s="92">
        <v>-15</v>
      </c>
      <c r="D103" s="68">
        <v>45</v>
      </c>
      <c r="E103" s="69">
        <v>2.4353123848347802</v>
      </c>
      <c r="F103" s="69">
        <v>1.1871055016997307</v>
      </c>
      <c r="G103" s="69">
        <v>2.0514708939920099</v>
      </c>
      <c r="H103" s="69">
        <v>0.74999999999999878</v>
      </c>
      <c r="I103" s="69" t="s">
        <v>181</v>
      </c>
      <c r="J103" s="69" t="s">
        <v>38</v>
      </c>
      <c r="K103" s="212" t="s">
        <v>48</v>
      </c>
      <c r="L103" s="186" t="s">
        <v>182</v>
      </c>
      <c r="M103" s="69" t="str">
        <f>CapacityTable[[#This Row],[Model]]&amp;CapacityTable[[#This Row],[Type]]&amp;CapacityTable[[#This Row],[T ext]]&amp;CapacityTable[[#This Row],[T water out]]&amp;CapacityTable[[#This Row],[Results origin]]</f>
        <v>BLW Mono 9.1Min power-1545Simulation values</v>
      </c>
    </row>
    <row r="104" spans="1:13" x14ac:dyDescent="0.25">
      <c r="A104" t="s">
        <v>23</v>
      </c>
      <c r="B104" s="68" t="s">
        <v>166</v>
      </c>
      <c r="C104" s="92">
        <v>-10</v>
      </c>
      <c r="D104" s="68">
        <v>60</v>
      </c>
      <c r="E104" s="69">
        <v>1.5369506747961199</v>
      </c>
      <c r="F104" s="69">
        <v>0.98918291874548137</v>
      </c>
      <c r="G104" s="69">
        <v>1.55375779915947</v>
      </c>
      <c r="H104" s="69">
        <v>0.432</v>
      </c>
      <c r="I104" s="69" t="s">
        <v>181</v>
      </c>
      <c r="J104" s="69" t="s">
        <v>38</v>
      </c>
      <c r="K104" s="212" t="s">
        <v>48</v>
      </c>
      <c r="L104" s="186"/>
      <c r="M104" s="69" t="str">
        <f>CapacityTable[[#This Row],[Model]]&amp;CapacityTable[[#This Row],[Type]]&amp;CapacityTable[[#This Row],[T ext]]&amp;CapacityTable[[#This Row],[T water out]]&amp;CapacityTable[[#This Row],[Results origin]]</f>
        <v>BLW Mono 6.1Min power-1060Simulation values</v>
      </c>
    </row>
    <row r="105" spans="1:13" x14ac:dyDescent="0.25">
      <c r="A105" t="s">
        <v>23</v>
      </c>
      <c r="B105" s="68" t="s">
        <v>165</v>
      </c>
      <c r="C105" s="92">
        <v>-10</v>
      </c>
      <c r="D105" s="92">
        <v>55</v>
      </c>
      <c r="E105" s="69">
        <v>4.8867430437071402</v>
      </c>
      <c r="F105" s="69">
        <v>2.5327421666262508</v>
      </c>
      <c r="G105" s="69">
        <v>1.9196964692140699</v>
      </c>
      <c r="H105" s="69">
        <v>0.53387526659688722</v>
      </c>
      <c r="I105" s="69" t="s">
        <v>181</v>
      </c>
      <c r="J105" s="69" t="s">
        <v>38</v>
      </c>
      <c r="K105" s="213" t="s">
        <v>183</v>
      </c>
      <c r="L105" s="69"/>
      <c r="M105" s="69" t="str">
        <f>CapacityTable[[#This Row],[Model]]&amp;CapacityTable[[#This Row],[Type]]&amp;CapacityTable[[#This Row],[T ext]]&amp;CapacityTable[[#This Row],[T water out]]&amp;CapacityTable[[#This Row],[Results origin]]</f>
        <v>BLW Mono 6.1Max power-1055Simulation values</v>
      </c>
    </row>
    <row r="106" spans="1:13" x14ac:dyDescent="0.25">
      <c r="A106" t="s">
        <v>25</v>
      </c>
      <c r="B106" s="68" t="s">
        <v>166</v>
      </c>
      <c r="C106" s="92">
        <v>-15</v>
      </c>
      <c r="D106" s="68">
        <v>50</v>
      </c>
      <c r="E106" s="69">
        <v>2.38943439287188</v>
      </c>
      <c r="F106" s="69">
        <v>1.2743919312600971</v>
      </c>
      <c r="G106" s="69">
        <v>1.8749603903323899</v>
      </c>
      <c r="H106" s="69">
        <v>0.74999999999999878</v>
      </c>
      <c r="I106" s="69" t="s">
        <v>181</v>
      </c>
      <c r="J106" s="69" t="s">
        <v>38</v>
      </c>
      <c r="K106" s="212" t="s">
        <v>48</v>
      </c>
      <c r="L106" s="186" t="s">
        <v>182</v>
      </c>
      <c r="M106" s="69" t="str">
        <f>CapacityTable[[#This Row],[Model]]&amp;CapacityTable[[#This Row],[Type]]&amp;CapacityTable[[#This Row],[T ext]]&amp;CapacityTable[[#This Row],[T water out]]&amp;CapacityTable[[#This Row],[Results origin]]</f>
        <v>BLW Mono 9.1Min power-1550Simulation values</v>
      </c>
    </row>
    <row r="107" spans="1:13" x14ac:dyDescent="0.25">
      <c r="A107" t="s">
        <v>23</v>
      </c>
      <c r="B107" s="68" t="s">
        <v>165</v>
      </c>
      <c r="C107" s="92">
        <v>-10</v>
      </c>
      <c r="D107" s="68">
        <v>60</v>
      </c>
      <c r="E107" s="69">
        <v>4.8265099032782004</v>
      </c>
      <c r="F107" s="69">
        <v>2.6596467272302147</v>
      </c>
      <c r="G107" s="69">
        <v>1.80716268126766</v>
      </c>
      <c r="H107" s="69">
        <v>0.432</v>
      </c>
      <c r="I107" s="69" t="s">
        <v>181</v>
      </c>
      <c r="J107" s="69" t="s">
        <v>38</v>
      </c>
      <c r="K107" s="212" t="s">
        <v>48</v>
      </c>
      <c r="L107" s="186" t="s">
        <v>182</v>
      </c>
      <c r="M107" s="69" t="str">
        <f>CapacityTable[[#This Row],[Model]]&amp;CapacityTable[[#This Row],[Type]]&amp;CapacityTable[[#This Row],[T ext]]&amp;CapacityTable[[#This Row],[T water out]]&amp;CapacityTable[[#This Row],[Results origin]]</f>
        <v>BLW Mono 6.1Max power-1060Simulation values</v>
      </c>
    </row>
    <row r="108" spans="1:13" x14ac:dyDescent="0.25">
      <c r="A108" t="s">
        <v>25</v>
      </c>
      <c r="B108" s="68" t="s">
        <v>165</v>
      </c>
      <c r="C108" s="92">
        <v>-10</v>
      </c>
      <c r="D108" s="68">
        <v>55</v>
      </c>
      <c r="E108" s="69">
        <v>7.5918561128632502</v>
      </c>
      <c r="F108" s="69">
        <v>3.704986598800069</v>
      </c>
      <c r="G108" s="69">
        <v>2.0490913827655999</v>
      </c>
      <c r="H108" s="69">
        <v>0.82877904019982163</v>
      </c>
      <c r="I108" s="69" t="s">
        <v>181</v>
      </c>
      <c r="J108" s="69" t="s">
        <v>38</v>
      </c>
      <c r="K108" s="213" t="s">
        <v>183</v>
      </c>
      <c r="L108" s="69"/>
      <c r="M108" s="69" t="str">
        <f>CapacityTable[[#This Row],[Model]]&amp;CapacityTable[[#This Row],[Type]]&amp;CapacityTable[[#This Row],[T ext]]&amp;CapacityTable[[#This Row],[T water out]]&amp;CapacityTable[[#This Row],[Results origin]]</f>
        <v>BLW Mono 9.1Max power-1055Simulation values</v>
      </c>
    </row>
    <row r="109" spans="1:13" x14ac:dyDescent="0.25">
      <c r="A109" t="s">
        <v>25</v>
      </c>
      <c r="B109" s="68" t="s">
        <v>166</v>
      </c>
      <c r="C109" s="92">
        <v>-15</v>
      </c>
      <c r="D109" s="68">
        <v>55</v>
      </c>
      <c r="E109" s="69">
        <v>2.3592672519816702</v>
      </c>
      <c r="F109" s="69">
        <v>1.3642125658472908</v>
      </c>
      <c r="G109" s="69">
        <v>1.7293985637175</v>
      </c>
      <c r="H109" s="69">
        <v>0.74999999999999878</v>
      </c>
      <c r="I109" s="69" t="s">
        <v>181</v>
      </c>
      <c r="J109" s="69" t="s">
        <v>38</v>
      </c>
      <c r="K109" s="212" t="s">
        <v>48</v>
      </c>
      <c r="L109" s="186" t="s">
        <v>186</v>
      </c>
      <c r="M109" s="69" t="str">
        <f>CapacityTable[[#This Row],[Model]]&amp;CapacityTable[[#This Row],[Type]]&amp;CapacityTable[[#This Row],[T ext]]&amp;CapacityTable[[#This Row],[T water out]]&amp;CapacityTable[[#This Row],[Results origin]]</f>
        <v>BLW Mono 9.1Min power-1555Simulation values</v>
      </c>
    </row>
    <row r="110" spans="1:13" x14ac:dyDescent="0.25">
      <c r="A110" t="s">
        <v>25</v>
      </c>
      <c r="B110" s="68" t="s">
        <v>165</v>
      </c>
      <c r="C110" s="92">
        <v>-10</v>
      </c>
      <c r="D110" s="68">
        <v>60</v>
      </c>
      <c r="E110" s="69">
        <v>7.5234901722848795</v>
      </c>
      <c r="F110" s="69">
        <v>3.9361129322323731</v>
      </c>
      <c r="G110" s="69">
        <v>1.9114009942844601</v>
      </c>
      <c r="H110" s="69">
        <v>0.74999999999999878</v>
      </c>
      <c r="I110" s="69" t="s">
        <v>181</v>
      </c>
      <c r="J110" s="69" t="s">
        <v>38</v>
      </c>
      <c r="K110" s="212" t="s">
        <v>48</v>
      </c>
      <c r="L110" s="186" t="s">
        <v>182</v>
      </c>
      <c r="M110" s="69" t="str">
        <f>CapacityTable[[#This Row],[Model]]&amp;CapacityTable[[#This Row],[Type]]&amp;CapacityTable[[#This Row],[T ext]]&amp;CapacityTable[[#This Row],[T water out]]&amp;CapacityTable[[#This Row],[Results origin]]</f>
        <v>BLW Mono 9.1Max power-1060Simulation values</v>
      </c>
    </row>
    <row r="111" spans="1:13" x14ac:dyDescent="0.25">
      <c r="A111" t="s">
        <v>25</v>
      </c>
      <c r="B111" s="68" t="s">
        <v>166</v>
      </c>
      <c r="C111" s="92">
        <v>-15</v>
      </c>
      <c r="D111" s="68">
        <v>60</v>
      </c>
      <c r="E111" s="69">
        <v>2.3440196102478597</v>
      </c>
      <c r="F111" s="69">
        <v>1.4565606509069495</v>
      </c>
      <c r="G111" s="69">
        <v>1.60928390368662</v>
      </c>
      <c r="H111" s="69">
        <v>0.74999999999999878</v>
      </c>
      <c r="I111" s="69" t="s">
        <v>181</v>
      </c>
      <c r="J111" s="69" t="s">
        <v>38</v>
      </c>
      <c r="K111" s="212" t="s">
        <v>48</v>
      </c>
      <c r="L111" s="186" t="s">
        <v>182</v>
      </c>
      <c r="M111" s="69" t="str">
        <f>CapacityTable[[#This Row],[Model]]&amp;CapacityTable[[#This Row],[Type]]&amp;CapacityTable[[#This Row],[T ext]]&amp;CapacityTable[[#This Row],[T water out]]&amp;CapacityTable[[#This Row],[Results origin]]</f>
        <v>BLW Mono 9.1Min power-1560Simulation values</v>
      </c>
    </row>
    <row r="112" spans="1:13" x14ac:dyDescent="0.25">
      <c r="A112" t="s">
        <v>25</v>
      </c>
      <c r="B112" s="68" t="s">
        <v>166</v>
      </c>
      <c r="C112" s="92">
        <v>-15</v>
      </c>
      <c r="D112" s="68">
        <v>65</v>
      </c>
      <c r="E112" s="69">
        <v>2.3419837428639698</v>
      </c>
      <c r="F112" s="69">
        <v>1.551235774480439</v>
      </c>
      <c r="G112" s="69">
        <v>1.50975356640958</v>
      </c>
      <c r="H112" s="69">
        <v>0.74999999999999878</v>
      </c>
      <c r="I112" s="69" t="s">
        <v>181</v>
      </c>
      <c r="J112" s="69" t="s">
        <v>38</v>
      </c>
      <c r="K112" s="212" t="s">
        <v>48</v>
      </c>
      <c r="L112" s="186" t="s">
        <v>182</v>
      </c>
      <c r="M112" s="69" t="str">
        <f>CapacityTable[[#This Row],[Model]]&amp;CapacityTable[[#This Row],[Type]]&amp;CapacityTable[[#This Row],[T ext]]&amp;CapacityTable[[#This Row],[T water out]]&amp;CapacityTable[[#This Row],[Results origin]]</f>
        <v>BLW Mono 9.1Min power-1565Simulation values</v>
      </c>
    </row>
    <row r="113" spans="1:13" x14ac:dyDescent="0.25">
      <c r="A113" t="s">
        <v>25</v>
      </c>
      <c r="B113" s="68" t="s">
        <v>166</v>
      </c>
      <c r="C113" s="92">
        <v>-15</v>
      </c>
      <c r="D113" s="68">
        <v>70</v>
      </c>
      <c r="E113" s="69" t="s">
        <v>185</v>
      </c>
      <c r="F113" s="69" t="s">
        <v>185</v>
      </c>
      <c r="G113" s="69" t="s">
        <v>185</v>
      </c>
      <c r="H113" s="69" t="s">
        <v>185</v>
      </c>
      <c r="I113" s="69" t="s">
        <v>181</v>
      </c>
      <c r="J113" s="69" t="s">
        <v>38</v>
      </c>
      <c r="K113" s="212" t="s">
        <v>48</v>
      </c>
      <c r="L113" s="186" t="s">
        <v>182</v>
      </c>
      <c r="M113" s="69" t="str">
        <f>CapacityTable[[#This Row],[Model]]&amp;CapacityTable[[#This Row],[Type]]&amp;CapacityTable[[#This Row],[T ext]]&amp;CapacityTable[[#This Row],[T water out]]&amp;CapacityTable[[#This Row],[Results origin]]</f>
        <v>BLW Mono 9.1Min power-1570Simulation values</v>
      </c>
    </row>
    <row r="114" spans="1:13" x14ac:dyDescent="0.25">
      <c r="A114" t="s">
        <v>25</v>
      </c>
      <c r="B114" s="68" t="s">
        <v>166</v>
      </c>
      <c r="C114" s="92">
        <v>-10</v>
      </c>
      <c r="D114" s="68">
        <v>25</v>
      </c>
      <c r="E114" s="69">
        <v>2.5419714511505398</v>
      </c>
      <c r="F114" s="69">
        <v>0.68436375663759896</v>
      </c>
      <c r="G114" s="69">
        <v>3.71435720623152</v>
      </c>
      <c r="H114" s="69">
        <v>0.74999999999999878</v>
      </c>
      <c r="I114" s="69" t="s">
        <v>181</v>
      </c>
      <c r="J114" s="69" t="s">
        <v>38</v>
      </c>
      <c r="K114" s="212" t="s">
        <v>48</v>
      </c>
      <c r="L114" s="186" t="s">
        <v>182</v>
      </c>
      <c r="M114" s="69" t="str">
        <f>CapacityTable[[#This Row],[Model]]&amp;CapacityTable[[#This Row],[Type]]&amp;CapacityTable[[#This Row],[T ext]]&amp;CapacityTable[[#This Row],[T water out]]&amp;CapacityTable[[#This Row],[Results origin]]</f>
        <v>BLW Mono 9.1Min power-1025Simulation values</v>
      </c>
    </row>
    <row r="115" spans="1:13" x14ac:dyDescent="0.25">
      <c r="A115" t="s">
        <v>25</v>
      </c>
      <c r="B115" s="68" t="s">
        <v>166</v>
      </c>
      <c r="C115" s="92">
        <v>-10</v>
      </c>
      <c r="D115" s="68">
        <v>35</v>
      </c>
      <c r="E115" s="69">
        <v>2.3837107145433802</v>
      </c>
      <c r="F115" s="69">
        <v>0.82966304525483836</v>
      </c>
      <c r="G115" s="69">
        <v>2.8731070139579402</v>
      </c>
      <c r="H115" s="69">
        <v>0.74999999999999878</v>
      </c>
      <c r="I115" s="69" t="s">
        <v>181</v>
      </c>
      <c r="J115" s="69" t="s">
        <v>38</v>
      </c>
      <c r="K115" s="213" t="s">
        <v>183</v>
      </c>
      <c r="L115" s="69" t="s">
        <v>184</v>
      </c>
      <c r="M115" s="69" t="str">
        <f>CapacityTable[[#This Row],[Model]]&amp;CapacityTable[[#This Row],[Type]]&amp;CapacityTable[[#This Row],[T ext]]&amp;CapacityTable[[#This Row],[T water out]]&amp;CapacityTable[[#This Row],[Results origin]]</f>
        <v>BLW Mono 9.1Min power-1035Simulation values</v>
      </c>
    </row>
    <row r="116" spans="1:13" x14ac:dyDescent="0.25">
      <c r="A116" t="s">
        <v>25</v>
      </c>
      <c r="B116" s="68" t="s">
        <v>166</v>
      </c>
      <c r="C116" s="92">
        <v>-10</v>
      </c>
      <c r="D116" s="68">
        <v>40</v>
      </c>
      <c r="E116" s="69">
        <v>2.3220050919482702</v>
      </c>
      <c r="F116" s="69">
        <v>0.90632892499053597</v>
      </c>
      <c r="G116" s="69">
        <v>2.5619893925072699</v>
      </c>
      <c r="H116" s="69">
        <v>0.74999999999999878</v>
      </c>
      <c r="I116" s="69" t="s">
        <v>181</v>
      </c>
      <c r="J116" s="69" t="s">
        <v>38</v>
      </c>
      <c r="K116" s="212" t="s">
        <v>48</v>
      </c>
      <c r="L116" s="186" t="s">
        <v>182</v>
      </c>
      <c r="M116" s="69" t="str">
        <f>CapacityTable[[#This Row],[Model]]&amp;CapacityTable[[#This Row],[Type]]&amp;CapacityTable[[#This Row],[T ext]]&amp;CapacityTable[[#This Row],[T water out]]&amp;CapacityTable[[#This Row],[Results origin]]</f>
        <v>BLW Mono 9.1Min power-1040Simulation values</v>
      </c>
    </row>
    <row r="117" spans="1:13" x14ac:dyDescent="0.25">
      <c r="A117" t="s">
        <v>25</v>
      </c>
      <c r="B117" s="68" t="s">
        <v>166</v>
      </c>
      <c r="C117" s="92">
        <v>-10</v>
      </c>
      <c r="D117" s="68">
        <v>45</v>
      </c>
      <c r="E117" s="69">
        <v>2.27298840144327</v>
      </c>
      <c r="F117" s="69">
        <v>0.98568407140306635</v>
      </c>
      <c r="G117" s="69">
        <v>2.30600094633547</v>
      </c>
      <c r="H117" s="69">
        <v>0.74999999999999878</v>
      </c>
      <c r="I117" s="69" t="s">
        <v>181</v>
      </c>
      <c r="J117" s="69" t="s">
        <v>38</v>
      </c>
      <c r="K117" s="213" t="s">
        <v>183</v>
      </c>
      <c r="L117" s="69" t="s">
        <v>184</v>
      </c>
      <c r="M117" s="69" t="str">
        <f>CapacityTable[[#This Row],[Model]]&amp;CapacityTable[[#This Row],[Type]]&amp;CapacityTable[[#This Row],[T ext]]&amp;CapacityTable[[#This Row],[T water out]]&amp;CapacityTable[[#This Row],[Results origin]]</f>
        <v>BLW Mono 9.1Min power-1045Simulation values</v>
      </c>
    </row>
    <row r="118" spans="1:13" x14ac:dyDescent="0.25">
      <c r="A118" t="s">
        <v>25</v>
      </c>
      <c r="B118" s="68" t="s">
        <v>166</v>
      </c>
      <c r="C118" s="92">
        <v>-10</v>
      </c>
      <c r="D118" s="68">
        <v>50</v>
      </c>
      <c r="E118" s="69">
        <v>2.2367985757883799</v>
      </c>
      <c r="F118" s="69">
        <v>1.0677336190706077</v>
      </c>
      <c r="G118" s="69">
        <v>2.0949032004212498</v>
      </c>
      <c r="H118" s="69">
        <v>0.74999999999999878</v>
      </c>
      <c r="I118" s="69" t="s">
        <v>181</v>
      </c>
      <c r="J118" s="69" t="s">
        <v>38</v>
      </c>
      <c r="K118" s="212" t="s">
        <v>48</v>
      </c>
      <c r="L118" s="186" t="s">
        <v>182</v>
      </c>
      <c r="M118" s="69" t="str">
        <f>CapacityTable[[#This Row],[Model]]&amp;CapacityTable[[#This Row],[Type]]&amp;CapacityTable[[#This Row],[T ext]]&amp;CapacityTable[[#This Row],[T water out]]&amp;CapacityTable[[#This Row],[Results origin]]</f>
        <v>BLW Mono 9.1Min power-1050Simulation values</v>
      </c>
    </row>
    <row r="119" spans="1:13" x14ac:dyDescent="0.25">
      <c r="A119" t="s">
        <v>25</v>
      </c>
      <c r="B119" s="68" t="s">
        <v>166</v>
      </c>
      <c r="C119" s="92">
        <v>-10</v>
      </c>
      <c r="D119" s="68">
        <v>55</v>
      </c>
      <c r="E119" s="69">
        <v>2.21302531991843</v>
      </c>
      <c r="F119" s="69">
        <v>1.1524927711306516</v>
      </c>
      <c r="G119" s="69">
        <v>1.92020754954267</v>
      </c>
      <c r="H119" s="69">
        <v>0.74999999999999878</v>
      </c>
      <c r="I119" s="69" t="s">
        <v>181</v>
      </c>
      <c r="J119" s="69" t="s">
        <v>38</v>
      </c>
      <c r="K119" s="213" t="s">
        <v>183</v>
      </c>
      <c r="L119" s="69" t="s">
        <v>184</v>
      </c>
      <c r="M119" s="69" t="str">
        <f>CapacityTable[[#This Row],[Model]]&amp;CapacityTable[[#This Row],[Type]]&amp;CapacityTable[[#This Row],[T ext]]&amp;CapacityTable[[#This Row],[T water out]]&amp;CapacityTable[[#This Row],[Results origin]]</f>
        <v>BLW Mono 9.1Min power-1055Simulation values</v>
      </c>
    </row>
    <row r="120" spans="1:13" x14ac:dyDescent="0.25">
      <c r="A120" t="s">
        <v>25</v>
      </c>
      <c r="B120" s="68" t="s">
        <v>166</v>
      </c>
      <c r="C120" s="92">
        <v>-10</v>
      </c>
      <c r="D120" s="68">
        <v>60</v>
      </c>
      <c r="E120" s="69">
        <v>2.2005841832635302</v>
      </c>
      <c r="F120" s="69">
        <v>1.2399679108685198</v>
      </c>
      <c r="G120" s="69">
        <v>1.7747105904717799</v>
      </c>
      <c r="H120" s="69">
        <v>0.74999999999999878</v>
      </c>
      <c r="I120" s="69" t="s">
        <v>181</v>
      </c>
      <c r="J120" s="69" t="s">
        <v>38</v>
      </c>
      <c r="K120" s="212" t="s">
        <v>48</v>
      </c>
      <c r="L120" s="186" t="s">
        <v>182</v>
      </c>
      <c r="M120" s="69" t="str">
        <f>CapacityTable[[#This Row],[Model]]&amp;CapacityTable[[#This Row],[Type]]&amp;CapacityTable[[#This Row],[T ext]]&amp;CapacityTable[[#This Row],[T water out]]&amp;CapacityTable[[#This Row],[Results origin]]</f>
        <v>BLW Mono 9.1Min power-1060Simulation values</v>
      </c>
    </row>
    <row r="121" spans="1:13" x14ac:dyDescent="0.25">
      <c r="A121" t="s">
        <v>25</v>
      </c>
      <c r="B121" s="68" t="s">
        <v>156</v>
      </c>
      <c r="C121" s="92">
        <v>-15</v>
      </c>
      <c r="D121" s="68">
        <v>25</v>
      </c>
      <c r="E121" s="69">
        <v>2.7636733164681901</v>
      </c>
      <c r="F121" s="69">
        <v>0.86275740815991731</v>
      </c>
      <c r="G121" s="69">
        <v>3.2033029103308799</v>
      </c>
      <c r="H121" s="69">
        <v>0.74999999999999878</v>
      </c>
      <c r="I121" s="69" t="s">
        <v>181</v>
      </c>
      <c r="J121" s="69" t="s">
        <v>38</v>
      </c>
      <c r="K121" s="212" t="s">
        <v>48</v>
      </c>
      <c r="L121" s="186" t="s">
        <v>182</v>
      </c>
      <c r="M121" s="69" t="str">
        <f>CapacityTable[[#This Row],[Model]]&amp;CapacityTable[[#This Row],[Type]]&amp;CapacityTable[[#This Row],[T ext]]&amp;CapacityTable[[#This Row],[T water out]]&amp;CapacityTable[[#This Row],[Results origin]]</f>
        <v>BLW Mono 9.1Best COP-1525Simulation values</v>
      </c>
    </row>
    <row r="122" spans="1:13" x14ac:dyDescent="0.25">
      <c r="A122" t="s">
        <v>23</v>
      </c>
      <c r="B122" s="68" t="s">
        <v>156</v>
      </c>
      <c r="C122" s="92">
        <v>-15</v>
      </c>
      <c r="D122" s="68">
        <v>35</v>
      </c>
      <c r="E122" s="69">
        <v>2.6742057917375699</v>
      </c>
      <c r="F122" s="69">
        <v>1.1557155730810171</v>
      </c>
      <c r="G122" s="69">
        <v>2.3138961298309901</v>
      </c>
      <c r="H122" s="69">
        <v>0.46604868238584718</v>
      </c>
      <c r="I122" s="69" t="s">
        <v>181</v>
      </c>
      <c r="J122" s="69" t="s">
        <v>38</v>
      </c>
      <c r="K122" s="212" t="s">
        <v>48</v>
      </c>
      <c r="L122" s="186" t="s">
        <v>182</v>
      </c>
      <c r="M122" s="69" t="str">
        <f>CapacityTable[[#This Row],[Model]]&amp;CapacityTable[[#This Row],[Type]]&amp;CapacityTable[[#This Row],[T ext]]&amp;CapacityTable[[#This Row],[T water out]]&amp;CapacityTable[[#This Row],[Results origin]]</f>
        <v>BLW Mono 6.1Best COP-1535Simulation values</v>
      </c>
    </row>
    <row r="123" spans="1:13" x14ac:dyDescent="0.25">
      <c r="A123" t="s">
        <v>25</v>
      </c>
      <c r="B123" s="68" t="s">
        <v>156</v>
      </c>
      <c r="C123" s="92">
        <v>-15</v>
      </c>
      <c r="D123" s="68">
        <v>35</v>
      </c>
      <c r="E123" s="69">
        <v>4.5182545167499502</v>
      </c>
      <c r="F123" s="69">
        <v>1.7343447991076124</v>
      </c>
      <c r="G123" s="69">
        <v>2.6051650854402002</v>
      </c>
      <c r="H123" s="69">
        <v>0.786179444589576</v>
      </c>
      <c r="I123" s="69" t="s">
        <v>181</v>
      </c>
      <c r="J123" s="69" t="s">
        <v>38</v>
      </c>
      <c r="K123" s="212" t="s">
        <v>48</v>
      </c>
      <c r="L123" s="186" t="s">
        <v>182</v>
      </c>
      <c r="M123" s="69" t="str">
        <f>CapacityTable[[#This Row],[Model]]&amp;CapacityTable[[#This Row],[Type]]&amp;CapacityTable[[#This Row],[T ext]]&amp;CapacityTable[[#This Row],[T water out]]&amp;CapacityTable[[#This Row],[Results origin]]</f>
        <v>BLW Mono 9.1Best COP-1535Simulation values</v>
      </c>
    </row>
    <row r="124" spans="1:13" x14ac:dyDescent="0.25">
      <c r="A124" t="s">
        <v>23</v>
      </c>
      <c r="B124" s="68" t="s">
        <v>156</v>
      </c>
      <c r="C124" s="92">
        <v>-15</v>
      </c>
      <c r="D124" s="68">
        <v>40</v>
      </c>
      <c r="E124" s="69">
        <v>2.8730343193624197</v>
      </c>
      <c r="F124" s="69">
        <v>1.3505933258252092</v>
      </c>
      <c r="G124" s="69">
        <v>2.1272386472123301</v>
      </c>
      <c r="H124" s="69">
        <v>0.50143848275990521</v>
      </c>
      <c r="I124" s="69" t="s">
        <v>181</v>
      </c>
      <c r="J124" s="69" t="s">
        <v>38</v>
      </c>
      <c r="K124" s="212" t="s">
        <v>48</v>
      </c>
      <c r="L124" s="186" t="s">
        <v>182</v>
      </c>
      <c r="M124" s="69" t="str">
        <f>CapacityTable[[#This Row],[Model]]&amp;CapacityTable[[#This Row],[Type]]&amp;CapacityTable[[#This Row],[T ext]]&amp;CapacityTable[[#This Row],[T water out]]&amp;CapacityTable[[#This Row],[Results origin]]</f>
        <v>BLW Mono 6.1Best COP-1540Simulation values</v>
      </c>
    </row>
    <row r="125" spans="1:13" x14ac:dyDescent="0.25">
      <c r="A125" t="s">
        <v>25</v>
      </c>
      <c r="B125" s="68" t="s">
        <v>156</v>
      </c>
      <c r="C125" s="92">
        <v>-15</v>
      </c>
      <c r="D125" s="68">
        <v>40</v>
      </c>
      <c r="E125" s="69">
        <v>4.8355123778904696</v>
      </c>
      <c r="F125" s="69">
        <v>2.0200418592094165</v>
      </c>
      <c r="G125" s="69">
        <v>2.3937684042760101</v>
      </c>
      <c r="H125" s="69">
        <v>0.8426278343192688</v>
      </c>
      <c r="I125" s="69" t="s">
        <v>181</v>
      </c>
      <c r="J125" s="69" t="s">
        <v>38</v>
      </c>
      <c r="K125" s="212" t="s">
        <v>48</v>
      </c>
      <c r="L125" s="186" t="s">
        <v>182</v>
      </c>
      <c r="M125" s="69" t="str">
        <f>CapacityTable[[#This Row],[Model]]&amp;CapacityTable[[#This Row],[Type]]&amp;CapacityTable[[#This Row],[T ext]]&amp;CapacityTable[[#This Row],[T water out]]&amp;CapacityTable[[#This Row],[Results origin]]</f>
        <v>BLW Mono 9.1Best COP-1540Simulation values</v>
      </c>
    </row>
    <row r="126" spans="1:13" x14ac:dyDescent="0.25">
      <c r="A126" t="s">
        <v>23</v>
      </c>
      <c r="B126" s="68" t="s">
        <v>156</v>
      </c>
      <c r="C126" s="92">
        <v>-15</v>
      </c>
      <c r="D126" s="68">
        <v>45</v>
      </c>
      <c r="E126" s="69">
        <v>2.83633987042312</v>
      </c>
      <c r="F126" s="69">
        <v>1.4404271404600468</v>
      </c>
      <c r="G126" s="69">
        <v>1.9690963817283</v>
      </c>
      <c r="H126" s="69">
        <v>0.49593270319169036</v>
      </c>
      <c r="I126" s="69" t="s">
        <v>181</v>
      </c>
      <c r="J126" s="69" t="s">
        <v>38</v>
      </c>
      <c r="K126" s="212" t="s">
        <v>48</v>
      </c>
      <c r="L126" s="186" t="s">
        <v>186</v>
      </c>
      <c r="M126" s="69" t="str">
        <f>CapacityTable[[#This Row],[Model]]&amp;CapacityTable[[#This Row],[Type]]&amp;CapacityTable[[#This Row],[T ext]]&amp;CapacityTable[[#This Row],[T water out]]&amp;CapacityTable[[#This Row],[Results origin]]</f>
        <v>BLW Mono 6.1Best COP-1545Simulation values</v>
      </c>
    </row>
    <row r="127" spans="1:13" x14ac:dyDescent="0.25">
      <c r="A127" t="s">
        <v>25</v>
      </c>
      <c r="B127" s="68" t="s">
        <v>156</v>
      </c>
      <c r="C127" s="92">
        <v>-15</v>
      </c>
      <c r="D127" s="68">
        <v>45</v>
      </c>
      <c r="E127" s="69">
        <v>5.1565808505712303</v>
      </c>
      <c r="F127" s="69">
        <v>2.3374807487778479</v>
      </c>
      <c r="G127" s="69">
        <v>2.2060420618511398</v>
      </c>
      <c r="H127" s="69">
        <v>0.89991495833392443</v>
      </c>
      <c r="I127" s="69" t="s">
        <v>181</v>
      </c>
      <c r="J127" s="69" t="s">
        <v>38</v>
      </c>
      <c r="K127" s="212" t="s">
        <v>48</v>
      </c>
      <c r="L127" s="186" t="s">
        <v>182</v>
      </c>
      <c r="M127" s="69" t="str">
        <f>CapacityTable[[#This Row],[Model]]&amp;CapacityTable[[#This Row],[Type]]&amp;CapacityTable[[#This Row],[T ext]]&amp;CapacityTable[[#This Row],[T water out]]&amp;CapacityTable[[#This Row],[Results origin]]</f>
        <v>BLW Mono 9.1Best COP-1545Simulation values</v>
      </c>
    </row>
    <row r="128" spans="1:13" x14ac:dyDescent="0.25">
      <c r="A128" t="s">
        <v>23</v>
      </c>
      <c r="B128" s="68" t="s">
        <v>166</v>
      </c>
      <c r="C128" s="92">
        <v>-10</v>
      </c>
      <c r="D128" s="68">
        <v>65</v>
      </c>
      <c r="E128" s="69">
        <v>1.5183344550095901</v>
      </c>
      <c r="F128" s="69">
        <v>1.0773178476253114</v>
      </c>
      <c r="G128" s="69">
        <v>1.40936535893877</v>
      </c>
      <c r="H128" s="69">
        <v>0.432</v>
      </c>
      <c r="I128" s="69" t="s">
        <v>181</v>
      </c>
      <c r="J128" s="69" t="s">
        <v>38</v>
      </c>
      <c r="K128" s="212" t="s">
        <v>48</v>
      </c>
      <c r="L128" s="69"/>
      <c r="M128" s="69" t="str">
        <f>CapacityTable[[#This Row],[Model]]&amp;CapacityTable[[#This Row],[Type]]&amp;CapacityTable[[#This Row],[T ext]]&amp;CapacityTable[[#This Row],[T water out]]&amp;CapacityTable[[#This Row],[Results origin]]</f>
        <v>BLW Mono 6.1Min power-1065Simulation values</v>
      </c>
    </row>
    <row r="129" spans="1:13" x14ac:dyDescent="0.25">
      <c r="A129" t="s">
        <v>23</v>
      </c>
      <c r="B129" s="68" t="s">
        <v>165</v>
      </c>
      <c r="C129" s="92">
        <v>-10</v>
      </c>
      <c r="D129" s="92">
        <v>65</v>
      </c>
      <c r="E129" s="69">
        <v>4.7549536623328903</v>
      </c>
      <c r="F129" s="69">
        <v>2.8161241867954532</v>
      </c>
      <c r="G129" s="69">
        <v>1.68226622585319</v>
      </c>
      <c r="H129" s="69">
        <v>0.432</v>
      </c>
      <c r="I129" s="69" t="s">
        <v>181</v>
      </c>
      <c r="J129" s="69" t="s">
        <v>38</v>
      </c>
      <c r="K129" s="213" t="s">
        <v>183</v>
      </c>
      <c r="L129" s="69"/>
      <c r="M129" s="69" t="str">
        <f>CapacityTable[[#This Row],[Model]]&amp;CapacityTable[[#This Row],[Type]]&amp;CapacityTable[[#This Row],[T ext]]&amp;CapacityTable[[#This Row],[T water out]]&amp;CapacityTable[[#This Row],[Results origin]]</f>
        <v>BLW Mono 6.1Max power-1065Simulation values</v>
      </c>
    </row>
    <row r="130" spans="1:13" x14ac:dyDescent="0.25">
      <c r="A130" t="s">
        <v>23</v>
      </c>
      <c r="B130" s="68" t="s">
        <v>165</v>
      </c>
      <c r="C130" s="92">
        <v>-10</v>
      </c>
      <c r="D130" s="68">
        <v>70</v>
      </c>
      <c r="E130" s="69">
        <v>4.4682353273885305</v>
      </c>
      <c r="F130" s="69">
        <v>2.8796980925350129</v>
      </c>
      <c r="G130" s="69">
        <v>1.5465479482319</v>
      </c>
      <c r="H130" s="69">
        <v>0.432</v>
      </c>
      <c r="I130" s="69" t="s">
        <v>181</v>
      </c>
      <c r="J130" s="69" t="s">
        <v>38</v>
      </c>
      <c r="K130" s="212" t="s">
        <v>48</v>
      </c>
      <c r="L130" s="186" t="s">
        <v>182</v>
      </c>
      <c r="M130" s="69" t="str">
        <f>CapacityTable[[#This Row],[Model]]&amp;CapacityTable[[#This Row],[Type]]&amp;CapacityTable[[#This Row],[T ext]]&amp;CapacityTable[[#This Row],[T water out]]&amp;CapacityTable[[#This Row],[Results origin]]</f>
        <v>BLW Mono 6.1Max power-1070Simulation values</v>
      </c>
    </row>
    <row r="131" spans="1:13" x14ac:dyDescent="0.25">
      <c r="A131" t="s">
        <v>23</v>
      </c>
      <c r="B131" s="68" t="s">
        <v>165</v>
      </c>
      <c r="C131" s="92">
        <v>-7</v>
      </c>
      <c r="D131" s="68">
        <v>25</v>
      </c>
      <c r="E131" s="69">
        <v>5.9731733121502302</v>
      </c>
      <c r="F131" s="69">
        <v>1.784719503433758</v>
      </c>
      <c r="G131" s="69">
        <v>3.32849972352833</v>
      </c>
      <c r="H131" s="69">
        <v>1.0321570790865109</v>
      </c>
      <c r="I131" s="69" t="s">
        <v>181</v>
      </c>
      <c r="J131" s="69" t="s">
        <v>38</v>
      </c>
      <c r="K131" s="212" t="s">
        <v>48</v>
      </c>
      <c r="L131" s="186" t="s">
        <v>182</v>
      </c>
      <c r="M131" s="69" t="str">
        <f>CapacityTable[[#This Row],[Model]]&amp;CapacityTable[[#This Row],[Type]]&amp;CapacityTable[[#This Row],[T ext]]&amp;CapacityTable[[#This Row],[T water out]]&amp;CapacityTable[[#This Row],[Results origin]]</f>
        <v>BLW Mono 6.1Max power-725Simulation values</v>
      </c>
    </row>
    <row r="132" spans="1:13" x14ac:dyDescent="0.25">
      <c r="A132" t="s">
        <v>23</v>
      </c>
      <c r="B132" s="68" t="s">
        <v>165</v>
      </c>
      <c r="C132" s="92">
        <v>-7</v>
      </c>
      <c r="D132" s="92">
        <v>35</v>
      </c>
      <c r="E132" s="69">
        <v>5.7171491600255004</v>
      </c>
      <c r="F132" s="69">
        <v>2.0695466235182161</v>
      </c>
      <c r="G132" s="69">
        <v>2.7479528590423699</v>
      </c>
      <c r="H132" s="69">
        <v>0.99195730104596758</v>
      </c>
      <c r="I132" s="69" t="s">
        <v>181</v>
      </c>
      <c r="J132" s="69" t="s">
        <v>38</v>
      </c>
      <c r="K132" s="213" t="s">
        <v>183</v>
      </c>
      <c r="L132" s="69"/>
      <c r="M132" s="69" t="str">
        <f>CapacityTable[[#This Row],[Model]]&amp;CapacityTable[[#This Row],[Type]]&amp;CapacityTable[[#This Row],[T ext]]&amp;CapacityTable[[#This Row],[T water out]]&amp;CapacityTable[[#This Row],[Results origin]]</f>
        <v>BLW Mono 6.1Max power-735Simulation values</v>
      </c>
    </row>
    <row r="133" spans="1:13" x14ac:dyDescent="0.25">
      <c r="A133" t="s">
        <v>23</v>
      </c>
      <c r="B133" s="68" t="s">
        <v>165</v>
      </c>
      <c r="C133" s="92">
        <v>-7</v>
      </c>
      <c r="D133" s="68">
        <v>40</v>
      </c>
      <c r="E133" s="69">
        <v>5.6075877536590095</v>
      </c>
      <c r="F133" s="69">
        <v>2.2096970604356585</v>
      </c>
      <c r="G133" s="69">
        <v>2.52494680378839</v>
      </c>
      <c r="H133" s="69">
        <v>0.97484644015056721</v>
      </c>
      <c r="I133" s="69" t="s">
        <v>181</v>
      </c>
      <c r="J133" s="69" t="s">
        <v>38</v>
      </c>
      <c r="K133" s="212" t="s">
        <v>48</v>
      </c>
      <c r="L133" s="186" t="s">
        <v>182</v>
      </c>
      <c r="M133" s="69" t="str">
        <f>CapacityTable[[#This Row],[Model]]&amp;CapacityTable[[#This Row],[Type]]&amp;CapacityTable[[#This Row],[T ext]]&amp;CapacityTable[[#This Row],[T water out]]&amp;CapacityTable[[#This Row],[Results origin]]</f>
        <v>BLW Mono 6.1Max power-740Simulation values</v>
      </c>
    </row>
    <row r="134" spans="1:13" x14ac:dyDescent="0.25">
      <c r="A134" t="s">
        <v>23</v>
      </c>
      <c r="B134" s="68" t="s">
        <v>165</v>
      </c>
      <c r="C134" s="92">
        <v>-7</v>
      </c>
      <c r="D134" s="92">
        <v>45</v>
      </c>
      <c r="E134" s="69">
        <v>5.5054331486980201</v>
      </c>
      <c r="F134" s="69">
        <v>2.3513029658722884</v>
      </c>
      <c r="G134" s="69">
        <v>2.3303104574295799</v>
      </c>
      <c r="H134" s="69">
        <v>0.9589341808755073</v>
      </c>
      <c r="I134" s="69" t="s">
        <v>181</v>
      </c>
      <c r="J134" s="69" t="s">
        <v>38</v>
      </c>
      <c r="K134" s="213" t="s">
        <v>183</v>
      </c>
      <c r="L134" s="69"/>
      <c r="M134" s="69" t="str">
        <f>CapacityTable[[#This Row],[Model]]&amp;CapacityTable[[#This Row],[Type]]&amp;CapacityTable[[#This Row],[T ext]]&amp;CapacityTable[[#This Row],[T water out]]&amp;CapacityTable[[#This Row],[Results origin]]</f>
        <v>BLW Mono 6.1Max power-745Simulation values</v>
      </c>
    </row>
    <row r="135" spans="1:13" x14ac:dyDescent="0.25">
      <c r="A135" t="s">
        <v>23</v>
      </c>
      <c r="B135" s="68" t="s">
        <v>165</v>
      </c>
      <c r="C135" s="92">
        <v>-7</v>
      </c>
      <c r="D135" s="68">
        <v>50</v>
      </c>
      <c r="E135" s="69">
        <v>5.4250988301060996</v>
      </c>
      <c r="F135" s="69">
        <v>2.4548124184838298</v>
      </c>
      <c r="G135" s="69">
        <v>2.1969940578187299</v>
      </c>
      <c r="H135" s="69">
        <v>0.59149082123228514</v>
      </c>
      <c r="I135" s="69" t="s">
        <v>181</v>
      </c>
      <c r="J135" s="69" t="s">
        <v>38</v>
      </c>
      <c r="K135" s="212" t="s">
        <v>48</v>
      </c>
      <c r="L135" s="186" t="s">
        <v>182</v>
      </c>
      <c r="M135" s="69" t="str">
        <f>CapacityTable[[#This Row],[Model]]&amp;CapacityTable[[#This Row],[Type]]&amp;CapacityTable[[#This Row],[T ext]]&amp;CapacityTable[[#This Row],[T water out]]&amp;CapacityTable[[#This Row],[Results origin]]</f>
        <v>BLW Mono 6.1Max power-750Simulation values</v>
      </c>
    </row>
    <row r="136" spans="1:13" x14ac:dyDescent="0.25">
      <c r="A136" t="s">
        <v>23</v>
      </c>
      <c r="B136" s="68" t="s">
        <v>165</v>
      </c>
      <c r="C136" s="92">
        <v>-7</v>
      </c>
      <c r="D136" s="92">
        <v>55</v>
      </c>
      <c r="E136" s="69">
        <v>5.3309494127138892</v>
      </c>
      <c r="F136" s="69">
        <v>2.6042327048248657</v>
      </c>
      <c r="G136" s="69">
        <v>2.0362752121518701</v>
      </c>
      <c r="H136" s="69">
        <v>0.58226113918564915</v>
      </c>
      <c r="I136" s="69" t="s">
        <v>181</v>
      </c>
      <c r="J136" s="69" t="s">
        <v>38</v>
      </c>
      <c r="K136" s="213" t="s">
        <v>183</v>
      </c>
      <c r="L136" s="69"/>
      <c r="M136" s="69" t="str">
        <f>CapacityTable[[#This Row],[Model]]&amp;CapacityTable[[#This Row],[Type]]&amp;CapacityTable[[#This Row],[T ext]]&amp;CapacityTable[[#This Row],[T water out]]&amp;CapacityTable[[#This Row],[Results origin]]</f>
        <v>BLW Mono 6.1Max power-755Simulation values</v>
      </c>
    </row>
    <row r="137" spans="1:13" x14ac:dyDescent="0.25">
      <c r="A137" t="s">
        <v>23</v>
      </c>
      <c r="B137" s="68" t="s">
        <v>165</v>
      </c>
      <c r="C137" s="92">
        <v>-7</v>
      </c>
      <c r="D137" s="68">
        <v>60</v>
      </c>
      <c r="E137" s="69">
        <v>5.2542820063368998</v>
      </c>
      <c r="F137" s="69">
        <v>2.7363997892714806</v>
      </c>
      <c r="G137" s="69">
        <v>1.91174562800834</v>
      </c>
      <c r="H137" s="69">
        <v>0.45944341311397324</v>
      </c>
      <c r="I137" s="69" t="s">
        <v>181</v>
      </c>
      <c r="J137" s="69" t="s">
        <v>38</v>
      </c>
      <c r="K137" s="212" t="s">
        <v>48</v>
      </c>
      <c r="L137" s="186" t="s">
        <v>182</v>
      </c>
      <c r="M137" s="69" t="str">
        <f>CapacityTable[[#This Row],[Model]]&amp;CapacityTable[[#This Row],[Type]]&amp;CapacityTable[[#This Row],[T ext]]&amp;CapacityTable[[#This Row],[T water out]]&amp;CapacityTable[[#This Row],[Results origin]]</f>
        <v>BLW Mono 6.1Max power-760Simulation values</v>
      </c>
    </row>
    <row r="138" spans="1:13" x14ac:dyDescent="0.25">
      <c r="A138" t="s">
        <v>23</v>
      </c>
      <c r="B138" s="68" t="s">
        <v>165</v>
      </c>
      <c r="C138" s="92">
        <v>-7</v>
      </c>
      <c r="D138" s="92">
        <v>65</v>
      </c>
      <c r="E138" s="69">
        <v>5.1637516627953701</v>
      </c>
      <c r="F138" s="69">
        <v>2.8994456455733486</v>
      </c>
      <c r="G138" s="69">
        <v>1.77409321005578</v>
      </c>
      <c r="H138" s="69">
        <v>0.45233780478075364</v>
      </c>
      <c r="I138" s="69" t="s">
        <v>181</v>
      </c>
      <c r="J138" s="69" t="s">
        <v>38</v>
      </c>
      <c r="K138" s="213" t="s">
        <v>183</v>
      </c>
      <c r="L138" s="69"/>
      <c r="M138" s="69" t="str">
        <f>CapacityTable[[#This Row],[Model]]&amp;CapacityTable[[#This Row],[Type]]&amp;CapacityTable[[#This Row],[T ext]]&amp;CapacityTable[[#This Row],[T water out]]&amp;CapacityTable[[#This Row],[Results origin]]</f>
        <v>BLW Mono 6.1Max power-765Simulation values</v>
      </c>
    </row>
    <row r="139" spans="1:13" x14ac:dyDescent="0.25">
      <c r="A139" t="s">
        <v>23</v>
      </c>
      <c r="B139" s="68" t="s">
        <v>165</v>
      </c>
      <c r="C139" s="92">
        <v>-7</v>
      </c>
      <c r="D139" s="68">
        <v>70</v>
      </c>
      <c r="E139" s="69">
        <v>4.84907739522348</v>
      </c>
      <c r="F139" s="69">
        <v>2.9617536919105376</v>
      </c>
      <c r="G139" s="69">
        <v>1.6316861085851899</v>
      </c>
      <c r="H139" s="69">
        <v>0.432</v>
      </c>
      <c r="I139" s="69" t="s">
        <v>181</v>
      </c>
      <c r="J139" s="69" t="s">
        <v>38</v>
      </c>
      <c r="K139" s="212" t="s">
        <v>48</v>
      </c>
      <c r="L139" s="186" t="s">
        <v>182</v>
      </c>
      <c r="M139" s="69" t="str">
        <f>CapacityTable[[#This Row],[Model]]&amp;CapacityTable[[#This Row],[Type]]&amp;CapacityTable[[#This Row],[T ext]]&amp;CapacityTable[[#This Row],[T water out]]&amp;CapacityTable[[#This Row],[Results origin]]</f>
        <v>BLW Mono 6.1Max power-770Simulation values</v>
      </c>
    </row>
    <row r="140" spans="1:13" x14ac:dyDescent="0.25">
      <c r="A140" t="s">
        <v>23</v>
      </c>
      <c r="B140" s="68" t="s">
        <v>165</v>
      </c>
      <c r="C140" s="92">
        <v>2</v>
      </c>
      <c r="D140" s="68">
        <v>25</v>
      </c>
      <c r="E140" s="69">
        <v>7.1714399419266517</v>
      </c>
      <c r="F140" s="69">
        <v>1.6419722013753326</v>
      </c>
      <c r="G140" s="69">
        <v>4.2914379394789703</v>
      </c>
      <c r="H140" s="69">
        <v>1.2417153267233669</v>
      </c>
      <c r="I140" s="69" t="s">
        <v>181</v>
      </c>
      <c r="J140" s="69" t="s">
        <v>38</v>
      </c>
      <c r="K140" s="212" t="s">
        <v>48</v>
      </c>
      <c r="L140" s="186" t="s">
        <v>182</v>
      </c>
      <c r="M140" s="69" t="str">
        <f>CapacityTable[[#This Row],[Model]]&amp;CapacityTable[[#This Row],[Type]]&amp;CapacityTable[[#This Row],[T ext]]&amp;CapacityTable[[#This Row],[T water out]]&amp;CapacityTable[[#This Row],[Results origin]]</f>
        <v>BLW Mono 6.1Max power225Simulation values</v>
      </c>
    </row>
    <row r="141" spans="1:13" x14ac:dyDescent="0.25">
      <c r="A141" t="s">
        <v>23</v>
      </c>
      <c r="B141" s="68" t="s">
        <v>165</v>
      </c>
      <c r="C141" s="92">
        <v>2</v>
      </c>
      <c r="D141" s="92">
        <v>35</v>
      </c>
      <c r="E141" s="69">
        <v>7.1715569733933275</v>
      </c>
      <c r="F141" s="69">
        <v>2.0720486403737577</v>
      </c>
      <c r="G141" s="69">
        <v>3.4161178664649641</v>
      </c>
      <c r="H141" s="69">
        <v>1.2462252391583877</v>
      </c>
      <c r="I141" s="69" t="s">
        <v>181</v>
      </c>
      <c r="J141" s="69" t="s">
        <v>38</v>
      </c>
      <c r="K141" s="213" t="s">
        <v>183</v>
      </c>
      <c r="L141" s="69"/>
      <c r="M141" s="69" t="str">
        <f>CapacityTable[[#This Row],[Model]]&amp;CapacityTable[[#This Row],[Type]]&amp;CapacityTable[[#This Row],[T ext]]&amp;CapacityTable[[#This Row],[T water out]]&amp;CapacityTable[[#This Row],[Results origin]]</f>
        <v>BLW Mono 6.1Max power235Simulation values</v>
      </c>
    </row>
    <row r="142" spans="1:13" x14ac:dyDescent="0.25">
      <c r="A142" t="s">
        <v>23</v>
      </c>
      <c r="B142" s="68" t="s">
        <v>165</v>
      </c>
      <c r="C142" s="92">
        <v>2</v>
      </c>
      <c r="D142" s="68">
        <v>40</v>
      </c>
      <c r="E142" s="69">
        <v>7.171617363795419</v>
      </c>
      <c r="F142" s="69">
        <v>2.2888655709542065</v>
      </c>
      <c r="G142" s="69">
        <v>3.0975967865015859</v>
      </c>
      <c r="H142" s="69">
        <v>1.2484408186436953</v>
      </c>
      <c r="I142" s="69" t="s">
        <v>181</v>
      </c>
      <c r="J142" s="69" t="s">
        <v>38</v>
      </c>
      <c r="K142" s="212" t="s">
        <v>48</v>
      </c>
      <c r="L142" s="186" t="s">
        <v>182</v>
      </c>
      <c r="M142" s="69" t="str">
        <f>CapacityTable[[#This Row],[Model]]&amp;CapacityTable[[#This Row],[Type]]&amp;CapacityTable[[#This Row],[T ext]]&amp;CapacityTable[[#This Row],[T water out]]&amp;CapacityTable[[#This Row],[Results origin]]</f>
        <v>BLW Mono 6.1Max power240Simulation values</v>
      </c>
    </row>
    <row r="143" spans="1:13" x14ac:dyDescent="0.25">
      <c r="A143" t="s">
        <v>23</v>
      </c>
      <c r="B143" s="68" t="s">
        <v>165</v>
      </c>
      <c r="C143" s="92">
        <v>2</v>
      </c>
      <c r="D143" s="92">
        <v>45</v>
      </c>
      <c r="E143" s="69">
        <v>7.1117945391745296</v>
      </c>
      <c r="F143" s="69">
        <v>2.4897097729376654</v>
      </c>
      <c r="G143" s="69">
        <v>2.8272621361499</v>
      </c>
      <c r="H143" s="69">
        <v>1.2402886446525925</v>
      </c>
      <c r="I143" s="69" t="s">
        <v>181</v>
      </c>
      <c r="J143" s="69" t="s">
        <v>38</v>
      </c>
      <c r="K143" s="213" t="s">
        <v>183</v>
      </c>
      <c r="L143" s="69"/>
      <c r="M143" s="69" t="str">
        <f>CapacityTable[[#This Row],[Model]]&amp;CapacityTable[[#This Row],[Type]]&amp;CapacityTable[[#This Row],[T ext]]&amp;CapacityTable[[#This Row],[T water out]]&amp;CapacityTable[[#This Row],[Results origin]]</f>
        <v>BLW Mono 6.1Max power245Simulation values</v>
      </c>
    </row>
    <row r="144" spans="1:13" x14ac:dyDescent="0.25">
      <c r="A144" t="s">
        <v>23</v>
      </c>
      <c r="B144" s="68" t="s">
        <v>165</v>
      </c>
      <c r="C144" s="92">
        <v>2</v>
      </c>
      <c r="D144" s="68">
        <v>50</v>
      </c>
      <c r="E144" s="69">
        <v>6.9966323474464902</v>
      </c>
      <c r="F144" s="69">
        <v>2.6108577148585086</v>
      </c>
      <c r="G144" s="69">
        <v>2.66357052781937</v>
      </c>
      <c r="H144" s="69">
        <v>0.7621928814459924</v>
      </c>
      <c r="I144" s="69" t="s">
        <v>181</v>
      </c>
      <c r="J144" s="69" t="s">
        <v>38</v>
      </c>
      <c r="K144" s="212" t="s">
        <v>48</v>
      </c>
      <c r="L144" s="186" t="s">
        <v>182</v>
      </c>
      <c r="M144" s="69" t="str">
        <f>CapacityTable[[#This Row],[Model]]&amp;CapacityTable[[#This Row],[Type]]&amp;CapacityTable[[#This Row],[T ext]]&amp;CapacityTable[[#This Row],[T water out]]&amp;CapacityTable[[#This Row],[Results origin]]</f>
        <v>BLW Mono 6.1Max power250Simulation values</v>
      </c>
    </row>
    <row r="145" spans="1:13" x14ac:dyDescent="0.25">
      <c r="A145" t="s">
        <v>23</v>
      </c>
      <c r="B145" s="68" t="s">
        <v>165</v>
      </c>
      <c r="C145" s="92">
        <v>2</v>
      </c>
      <c r="D145" s="92">
        <v>55</v>
      </c>
      <c r="E145" s="69">
        <v>6.8404376970385998</v>
      </c>
      <c r="F145" s="69">
        <v>2.7848312911823103</v>
      </c>
      <c r="G145" s="69">
        <v>2.4428292256784898</v>
      </c>
      <c r="H145" s="69">
        <v>0.7465275374597784</v>
      </c>
      <c r="I145" s="69" t="s">
        <v>181</v>
      </c>
      <c r="J145" s="69" t="s">
        <v>38</v>
      </c>
      <c r="K145" s="213" t="s">
        <v>183</v>
      </c>
      <c r="L145" s="69"/>
      <c r="M145" s="69" t="str">
        <f>CapacityTable[[#This Row],[Model]]&amp;CapacityTable[[#This Row],[Type]]&amp;CapacityTable[[#This Row],[T ext]]&amp;CapacityTable[[#This Row],[T water out]]&amp;CapacityTable[[#This Row],[Results origin]]</f>
        <v>BLW Mono 6.1Max power255Simulation values</v>
      </c>
    </row>
    <row r="146" spans="1:13" x14ac:dyDescent="0.25">
      <c r="A146" t="s">
        <v>23</v>
      </c>
      <c r="B146" s="68" t="s">
        <v>165</v>
      </c>
      <c r="C146" s="92">
        <v>2</v>
      </c>
      <c r="D146" s="68">
        <v>60</v>
      </c>
      <c r="E146" s="69">
        <v>6.7046800262339099</v>
      </c>
      <c r="F146" s="69">
        <v>2.9400071608725984</v>
      </c>
      <c r="G146" s="69">
        <v>2.26909840614293</v>
      </c>
      <c r="H146" s="69">
        <v>0.58596006779759879</v>
      </c>
      <c r="I146" s="69" t="s">
        <v>181</v>
      </c>
      <c r="J146" s="69" t="s">
        <v>38</v>
      </c>
      <c r="K146" s="212" t="s">
        <v>48</v>
      </c>
      <c r="L146" s="186" t="s">
        <v>182</v>
      </c>
      <c r="M146" s="69" t="str">
        <f>CapacityTable[[#This Row],[Model]]&amp;CapacityTable[[#This Row],[Type]]&amp;CapacityTable[[#This Row],[T ext]]&amp;CapacityTable[[#This Row],[T water out]]&amp;CapacityTable[[#This Row],[Results origin]]</f>
        <v>BLW Mono 6.1Max power260Simulation values</v>
      </c>
    </row>
    <row r="147" spans="1:13" x14ac:dyDescent="0.25">
      <c r="A147" t="s">
        <v>23</v>
      </c>
      <c r="B147" s="68" t="s">
        <v>165</v>
      </c>
      <c r="C147" s="92">
        <v>2</v>
      </c>
      <c r="D147" s="92">
        <v>65</v>
      </c>
      <c r="E147" s="69">
        <v>6.5460323342496203</v>
      </c>
      <c r="F147" s="69">
        <v>3.1281390583091624</v>
      </c>
      <c r="G147" s="69">
        <v>2.0833567141752898</v>
      </c>
      <c r="H147" s="69">
        <v>0.57313400257745284</v>
      </c>
      <c r="I147" s="69" t="s">
        <v>181</v>
      </c>
      <c r="J147" s="69" t="s">
        <v>38</v>
      </c>
      <c r="K147" s="213" t="s">
        <v>183</v>
      </c>
      <c r="L147" s="69"/>
      <c r="M147" s="69" t="str">
        <f>CapacityTable[[#This Row],[Model]]&amp;CapacityTable[[#This Row],[Type]]&amp;CapacityTable[[#This Row],[T ext]]&amp;CapacityTable[[#This Row],[T water out]]&amp;CapacityTable[[#This Row],[Results origin]]</f>
        <v>BLW Mono 6.1Max power265Simulation values</v>
      </c>
    </row>
    <row r="148" spans="1:13" x14ac:dyDescent="0.25">
      <c r="A148" t="s">
        <v>23</v>
      </c>
      <c r="B148" s="68" t="s">
        <v>165</v>
      </c>
      <c r="C148" s="92">
        <v>2</v>
      </c>
      <c r="D148" s="68">
        <v>70</v>
      </c>
      <c r="E148" s="69">
        <v>6.1244072490400105</v>
      </c>
      <c r="F148" s="69">
        <v>3.2054184395014982</v>
      </c>
      <c r="G148" s="69">
        <v>1.90305512035713</v>
      </c>
      <c r="H148" s="69">
        <v>0.53726863507823885</v>
      </c>
      <c r="I148" s="69" t="s">
        <v>181</v>
      </c>
      <c r="J148" s="69" t="s">
        <v>38</v>
      </c>
      <c r="K148" s="212" t="s">
        <v>48</v>
      </c>
      <c r="L148" s="186" t="s">
        <v>182</v>
      </c>
      <c r="M148" s="69" t="str">
        <f>CapacityTable[[#This Row],[Model]]&amp;CapacityTable[[#This Row],[Type]]&amp;CapacityTable[[#This Row],[T ext]]&amp;CapacityTable[[#This Row],[T water out]]&amp;CapacityTable[[#This Row],[Results origin]]</f>
        <v>BLW Mono 6.1Max power270Simulation values</v>
      </c>
    </row>
    <row r="149" spans="1:13" x14ac:dyDescent="0.25">
      <c r="A149" t="s">
        <v>23</v>
      </c>
      <c r="B149" s="68" t="s">
        <v>165</v>
      </c>
      <c r="C149" s="92">
        <v>7</v>
      </c>
      <c r="D149" s="68">
        <v>25</v>
      </c>
      <c r="E149" s="69">
        <v>7.1713425939520539</v>
      </c>
      <c r="F149" s="69">
        <v>1.3672607289103642</v>
      </c>
      <c r="G149" s="69">
        <v>5.1316935710800449</v>
      </c>
      <c r="H149" s="69">
        <v>1.2416912038031178</v>
      </c>
      <c r="I149" s="69" t="s">
        <v>181</v>
      </c>
      <c r="J149" s="69" t="s">
        <v>38</v>
      </c>
      <c r="K149" s="212" t="s">
        <v>48</v>
      </c>
      <c r="L149" s="186" t="s">
        <v>182</v>
      </c>
      <c r="M149" s="69" t="str">
        <f>CapacityTable[[#This Row],[Model]]&amp;CapacityTable[[#This Row],[Type]]&amp;CapacityTable[[#This Row],[T ext]]&amp;CapacityTable[[#This Row],[T water out]]&amp;CapacityTable[[#This Row],[Results origin]]</f>
        <v>BLW Mono 6.1Max power725Simulation values</v>
      </c>
    </row>
    <row r="150" spans="1:13" x14ac:dyDescent="0.25">
      <c r="A150" t="s">
        <v>23</v>
      </c>
      <c r="B150" s="68" t="s">
        <v>165</v>
      </c>
      <c r="C150" s="92">
        <v>7</v>
      </c>
      <c r="D150" s="92">
        <v>35</v>
      </c>
      <c r="E150" s="69">
        <v>7.1713719383660539</v>
      </c>
      <c r="F150" s="69">
        <v>1.775859990778204</v>
      </c>
      <c r="G150" s="69">
        <v>3.9746010126967564</v>
      </c>
      <c r="H150" s="69">
        <v>1.2461675069620226</v>
      </c>
      <c r="I150" s="69" t="s">
        <v>181</v>
      </c>
      <c r="J150" s="69" t="s">
        <v>38</v>
      </c>
      <c r="K150" s="213" t="s">
        <v>183</v>
      </c>
      <c r="L150" s="69"/>
      <c r="M150" s="69" t="str">
        <f>CapacityTable[[#This Row],[Model]]&amp;CapacityTable[[#This Row],[Type]]&amp;CapacityTable[[#This Row],[T ext]]&amp;CapacityTable[[#This Row],[T water out]]&amp;CapacityTable[[#This Row],[Results origin]]</f>
        <v>BLW Mono 6.1Max power735Simulation values</v>
      </c>
    </row>
    <row r="151" spans="1:13" x14ac:dyDescent="0.25">
      <c r="A151" t="s">
        <v>23</v>
      </c>
      <c r="B151" s="68" t="s">
        <v>165</v>
      </c>
      <c r="C151" s="92">
        <v>7</v>
      </c>
      <c r="D151" s="68">
        <v>40</v>
      </c>
      <c r="E151" s="69">
        <v>7.1716460052878324</v>
      </c>
      <c r="F151" s="69">
        <v>1.9905241960756783</v>
      </c>
      <c r="G151" s="69">
        <v>3.5537344490582781</v>
      </c>
      <c r="H151" s="69">
        <v>1.2483897009599989</v>
      </c>
      <c r="I151" s="69" t="s">
        <v>181</v>
      </c>
      <c r="J151" s="69" t="s">
        <v>38</v>
      </c>
      <c r="K151" s="212" t="s">
        <v>48</v>
      </c>
      <c r="L151" s="186" t="s">
        <v>182</v>
      </c>
      <c r="M151" s="69" t="str">
        <f>CapacityTable[[#This Row],[Model]]&amp;CapacityTable[[#This Row],[Type]]&amp;CapacityTable[[#This Row],[T ext]]&amp;CapacityTable[[#This Row],[T water out]]&amp;CapacityTable[[#This Row],[Results origin]]</f>
        <v>BLW Mono 6.1Max power740Simulation values</v>
      </c>
    </row>
    <row r="152" spans="1:13" x14ac:dyDescent="0.25">
      <c r="A152" t="s">
        <v>23</v>
      </c>
      <c r="B152" s="68" t="s">
        <v>165</v>
      </c>
      <c r="C152" s="92">
        <v>7</v>
      </c>
      <c r="D152" s="92">
        <v>45</v>
      </c>
      <c r="E152" s="69">
        <v>7.171762016908823</v>
      </c>
      <c r="F152" s="69">
        <v>2.2128359386227703</v>
      </c>
      <c r="G152" s="69">
        <v>3.2025007268319801</v>
      </c>
      <c r="H152" s="69">
        <v>1.2505876049566063</v>
      </c>
      <c r="I152" s="69" t="s">
        <v>181</v>
      </c>
      <c r="J152" s="69" t="s">
        <v>38</v>
      </c>
      <c r="K152" s="213" t="s">
        <v>183</v>
      </c>
      <c r="L152" s="69"/>
      <c r="M152" s="69" t="str">
        <f>CapacityTable[[#This Row],[Model]]&amp;CapacityTable[[#This Row],[Type]]&amp;CapacityTable[[#This Row],[T ext]]&amp;CapacityTable[[#This Row],[T water out]]&amp;CapacityTable[[#This Row],[Results origin]]</f>
        <v>BLW Mono 6.1Max power745Simulation values</v>
      </c>
    </row>
    <row r="153" spans="1:13" x14ac:dyDescent="0.25">
      <c r="A153" t="s">
        <v>23</v>
      </c>
      <c r="B153" s="68" t="s">
        <v>166</v>
      </c>
      <c r="C153" s="92">
        <v>-10</v>
      </c>
      <c r="D153" s="68">
        <v>70</v>
      </c>
      <c r="E153" s="69">
        <v>1.6266234722967099</v>
      </c>
      <c r="F153" s="69">
        <v>1.2569057151164411</v>
      </c>
      <c r="G153" s="69">
        <v>1.29414915751737</v>
      </c>
      <c r="H153" s="69">
        <v>0.432</v>
      </c>
      <c r="I153" s="69" t="s">
        <v>181</v>
      </c>
      <c r="J153" s="69" t="s">
        <v>38</v>
      </c>
      <c r="K153" s="212" t="s">
        <v>48</v>
      </c>
      <c r="L153" s="186"/>
      <c r="M153" s="69" t="str">
        <f>CapacityTable[[#This Row],[Model]]&amp;CapacityTable[[#This Row],[Type]]&amp;CapacityTable[[#This Row],[T ext]]&amp;CapacityTable[[#This Row],[T water out]]&amp;CapacityTable[[#This Row],[Results origin]]</f>
        <v>BLW Mono 6.1Min power-1070Simulation values</v>
      </c>
    </row>
    <row r="154" spans="1:13" x14ac:dyDescent="0.25">
      <c r="A154" t="s">
        <v>23</v>
      </c>
      <c r="B154" s="68" t="s">
        <v>165</v>
      </c>
      <c r="C154" s="92">
        <v>7</v>
      </c>
      <c r="D154" s="68">
        <v>50</v>
      </c>
      <c r="E154" s="69">
        <v>7.1806468717497349</v>
      </c>
      <c r="F154" s="69">
        <v>2.3881629896928342</v>
      </c>
      <c r="G154" s="69">
        <v>2.9861011087805456</v>
      </c>
      <c r="H154" s="69">
        <v>0.78215465295953757</v>
      </c>
      <c r="I154" s="69" t="s">
        <v>181</v>
      </c>
      <c r="J154" s="69" t="s">
        <v>38</v>
      </c>
      <c r="K154" s="212" t="s">
        <v>48</v>
      </c>
      <c r="L154" s="186" t="s">
        <v>182</v>
      </c>
      <c r="M154" s="69" t="str">
        <f>CapacityTable[[#This Row],[Model]]&amp;CapacityTable[[#This Row],[Type]]&amp;CapacityTable[[#This Row],[T ext]]&amp;CapacityTable[[#This Row],[T water out]]&amp;CapacityTable[[#This Row],[Results origin]]</f>
        <v>BLW Mono 6.1Max power750Simulation values</v>
      </c>
    </row>
    <row r="155" spans="1:13" x14ac:dyDescent="0.25">
      <c r="A155" t="s">
        <v>23</v>
      </c>
      <c r="B155" s="68" t="s">
        <v>165</v>
      </c>
      <c r="C155" s="92">
        <v>7</v>
      </c>
      <c r="D155" s="92">
        <v>55</v>
      </c>
      <c r="E155" s="69">
        <v>7.1806672905377553</v>
      </c>
      <c r="F155" s="69">
        <v>2.6358669364792999</v>
      </c>
      <c r="G155" s="69">
        <v>2.7079322618546184</v>
      </c>
      <c r="H155" s="69">
        <v>0.78351581726685027</v>
      </c>
      <c r="I155" s="69" t="s">
        <v>181</v>
      </c>
      <c r="J155" s="69" t="s">
        <v>38</v>
      </c>
      <c r="K155" s="213" t="s">
        <v>183</v>
      </c>
      <c r="L155" s="69"/>
      <c r="M155" s="69" t="str">
        <f>CapacityTable[[#This Row],[Model]]&amp;CapacityTable[[#This Row],[Type]]&amp;CapacityTable[[#This Row],[T ext]]&amp;CapacityTable[[#This Row],[T water out]]&amp;CapacityTable[[#This Row],[Results origin]]</f>
        <v>BLW Mono 6.1Max power755Simulation values</v>
      </c>
    </row>
    <row r="156" spans="1:13" x14ac:dyDescent="0.25">
      <c r="A156" t="s">
        <v>23</v>
      </c>
      <c r="B156" s="68" t="s">
        <v>165</v>
      </c>
      <c r="C156" s="92">
        <v>7</v>
      </c>
      <c r="D156" s="68">
        <v>60</v>
      </c>
      <c r="E156" s="69">
        <v>7.1801030793898288</v>
      </c>
      <c r="F156" s="69">
        <v>2.8645662417891287</v>
      </c>
      <c r="G156" s="69">
        <v>2.4928310177209578</v>
      </c>
      <c r="H156" s="69">
        <v>0.62740657995228333</v>
      </c>
      <c r="I156" s="69" t="s">
        <v>181</v>
      </c>
      <c r="J156" s="69" t="s">
        <v>38</v>
      </c>
      <c r="K156" s="212" t="s">
        <v>48</v>
      </c>
      <c r="L156" s="186" t="s">
        <v>182</v>
      </c>
      <c r="M156" s="69" t="str">
        <f>CapacityTable[[#This Row],[Model]]&amp;CapacityTable[[#This Row],[Type]]&amp;CapacityTable[[#This Row],[T ext]]&amp;CapacityTable[[#This Row],[T water out]]&amp;CapacityTable[[#This Row],[Results origin]]</f>
        <v>BLW Mono 6.1Max power760Simulation values</v>
      </c>
    </row>
    <row r="157" spans="1:13" x14ac:dyDescent="0.25">
      <c r="A157" t="s">
        <v>23</v>
      </c>
      <c r="B157" s="68" t="s">
        <v>165</v>
      </c>
      <c r="C157" s="92">
        <v>7</v>
      </c>
      <c r="D157" s="92">
        <v>65</v>
      </c>
      <c r="E157" s="69">
        <v>7.1801236462394558</v>
      </c>
      <c r="F157" s="69">
        <v>3.1503485340622279</v>
      </c>
      <c r="G157" s="69">
        <v>2.268319439028045</v>
      </c>
      <c r="H157" s="69">
        <v>0.63160106112598347</v>
      </c>
      <c r="I157" s="69" t="s">
        <v>181</v>
      </c>
      <c r="J157" s="69" t="s">
        <v>38</v>
      </c>
      <c r="K157" s="213" t="s">
        <v>183</v>
      </c>
      <c r="L157" s="69"/>
      <c r="M157" s="69" t="str">
        <f>CapacityTable[[#This Row],[Model]]&amp;CapacityTable[[#This Row],[Type]]&amp;CapacityTable[[#This Row],[T ext]]&amp;CapacityTable[[#This Row],[T water out]]&amp;CapacityTable[[#This Row],[Results origin]]</f>
        <v>BLW Mono 6.1Max power765Simulation values</v>
      </c>
    </row>
    <row r="158" spans="1:13" x14ac:dyDescent="0.25">
      <c r="A158" t="s">
        <v>23</v>
      </c>
      <c r="B158" s="68" t="s">
        <v>165</v>
      </c>
      <c r="C158" s="92">
        <v>7</v>
      </c>
      <c r="D158" s="68">
        <v>70</v>
      </c>
      <c r="E158" s="69">
        <v>6.9149263409282602</v>
      </c>
      <c r="F158" s="69">
        <v>3.3180884598260141</v>
      </c>
      <c r="G158" s="69">
        <v>2.0752167169610298</v>
      </c>
      <c r="H158" s="69">
        <v>0.60644791980151203</v>
      </c>
      <c r="I158" s="69" t="s">
        <v>181</v>
      </c>
      <c r="J158" s="69" t="s">
        <v>38</v>
      </c>
      <c r="K158" s="212" t="s">
        <v>48</v>
      </c>
      <c r="L158" s="186" t="s">
        <v>182</v>
      </c>
      <c r="M158" s="69" t="str">
        <f>CapacityTable[[#This Row],[Model]]&amp;CapacityTable[[#This Row],[Type]]&amp;CapacityTable[[#This Row],[T ext]]&amp;CapacityTable[[#This Row],[T water out]]&amp;CapacityTable[[#This Row],[Results origin]]</f>
        <v>BLW Mono 6.1Max power770Simulation values</v>
      </c>
    </row>
    <row r="159" spans="1:13" x14ac:dyDescent="0.25">
      <c r="A159" t="s">
        <v>23</v>
      </c>
      <c r="B159" s="68" t="s">
        <v>165</v>
      </c>
      <c r="C159" s="92">
        <v>10</v>
      </c>
      <c r="D159" s="68">
        <v>25</v>
      </c>
      <c r="E159" s="69"/>
      <c r="F159" s="69"/>
      <c r="G159" s="69"/>
      <c r="H159" s="69"/>
      <c r="I159" s="69" t="s">
        <v>181</v>
      </c>
      <c r="J159" s="69" t="s">
        <v>38</v>
      </c>
      <c r="K159" s="212" t="s">
        <v>48</v>
      </c>
      <c r="L159" s="186" t="s">
        <v>182</v>
      </c>
      <c r="M159" s="69" t="str">
        <f>CapacityTable[[#This Row],[Model]]&amp;CapacityTable[[#This Row],[Type]]&amp;CapacityTable[[#This Row],[T ext]]&amp;CapacityTable[[#This Row],[T water out]]&amp;CapacityTable[[#This Row],[Results origin]]</f>
        <v>BLW Mono 6.1Max power1025Simulation values</v>
      </c>
    </row>
    <row r="160" spans="1:13" x14ac:dyDescent="0.25">
      <c r="A160" t="s">
        <v>23</v>
      </c>
      <c r="B160" s="68" t="s">
        <v>165</v>
      </c>
      <c r="C160" s="92">
        <v>10</v>
      </c>
      <c r="D160" s="68">
        <v>40</v>
      </c>
      <c r="E160" s="69"/>
      <c r="F160" s="69"/>
      <c r="G160" s="69"/>
      <c r="H160" s="69"/>
      <c r="I160" s="69" t="s">
        <v>181</v>
      </c>
      <c r="J160" s="69" t="s">
        <v>38</v>
      </c>
      <c r="K160" s="212" t="s">
        <v>48</v>
      </c>
      <c r="L160" s="186" t="s">
        <v>182</v>
      </c>
      <c r="M160" s="69" t="str">
        <f>CapacityTable[[#This Row],[Model]]&amp;CapacityTable[[#This Row],[Type]]&amp;CapacityTable[[#This Row],[T ext]]&amp;CapacityTable[[#This Row],[T water out]]&amp;CapacityTable[[#This Row],[Results origin]]</f>
        <v>BLW Mono 6.1Max power1040Simulation values</v>
      </c>
    </row>
    <row r="161" spans="1:13" x14ac:dyDescent="0.25">
      <c r="A161" t="s">
        <v>23</v>
      </c>
      <c r="B161" s="68" t="s">
        <v>165</v>
      </c>
      <c r="C161" s="92">
        <v>10</v>
      </c>
      <c r="D161" s="68">
        <v>50</v>
      </c>
      <c r="E161" s="69"/>
      <c r="F161" s="69"/>
      <c r="G161" s="69"/>
      <c r="H161" s="69"/>
      <c r="I161" s="69" t="s">
        <v>181</v>
      </c>
      <c r="J161" s="69" t="s">
        <v>38</v>
      </c>
      <c r="K161" s="212" t="s">
        <v>48</v>
      </c>
      <c r="L161" s="186" t="s">
        <v>182</v>
      </c>
      <c r="M161" s="69" t="str">
        <f>CapacityTable[[#This Row],[Model]]&amp;CapacityTable[[#This Row],[Type]]&amp;CapacityTable[[#This Row],[T ext]]&amp;CapacityTable[[#This Row],[T water out]]&amp;CapacityTable[[#This Row],[Results origin]]</f>
        <v>BLW Mono 6.1Max power1050Simulation values</v>
      </c>
    </row>
    <row r="162" spans="1:13" x14ac:dyDescent="0.25">
      <c r="A162" t="s">
        <v>23</v>
      </c>
      <c r="B162" s="68" t="s">
        <v>165</v>
      </c>
      <c r="C162" s="92">
        <v>10</v>
      </c>
      <c r="D162" s="68">
        <v>60</v>
      </c>
      <c r="E162" s="69"/>
      <c r="F162" s="69"/>
      <c r="G162" s="69"/>
      <c r="H162" s="69"/>
      <c r="I162" s="69" t="s">
        <v>181</v>
      </c>
      <c r="J162" s="69" t="s">
        <v>38</v>
      </c>
      <c r="K162" s="212" t="s">
        <v>48</v>
      </c>
      <c r="L162" s="186" t="s">
        <v>182</v>
      </c>
      <c r="M162" s="69" t="str">
        <f>CapacityTable[[#This Row],[Model]]&amp;CapacityTable[[#This Row],[Type]]&amp;CapacityTable[[#This Row],[T ext]]&amp;CapacityTable[[#This Row],[T water out]]&amp;CapacityTable[[#This Row],[Results origin]]</f>
        <v>BLW Mono 6.1Max power1060Simulation values</v>
      </c>
    </row>
    <row r="163" spans="1:13" x14ac:dyDescent="0.25">
      <c r="A163" t="s">
        <v>23</v>
      </c>
      <c r="B163" s="68" t="s">
        <v>165</v>
      </c>
      <c r="C163" s="92">
        <v>10</v>
      </c>
      <c r="D163" s="92">
        <v>65</v>
      </c>
      <c r="E163" s="69"/>
      <c r="F163" s="69"/>
      <c r="G163" s="69"/>
      <c r="H163" s="69"/>
      <c r="I163" s="69" t="s">
        <v>181</v>
      </c>
      <c r="J163" s="69" t="s">
        <v>38</v>
      </c>
      <c r="K163" s="213" t="s">
        <v>183</v>
      </c>
      <c r="L163" s="69"/>
      <c r="M163" s="69" t="str">
        <f>CapacityTable[[#This Row],[Model]]&amp;CapacityTable[[#This Row],[Type]]&amp;CapacityTable[[#This Row],[T ext]]&amp;CapacityTable[[#This Row],[T water out]]&amp;CapacityTable[[#This Row],[Results origin]]</f>
        <v>BLW Mono 6.1Max power1065Simulation values</v>
      </c>
    </row>
    <row r="164" spans="1:13" x14ac:dyDescent="0.25">
      <c r="A164" t="s">
        <v>23</v>
      </c>
      <c r="B164" s="68" t="s">
        <v>165</v>
      </c>
      <c r="C164" s="92">
        <v>10</v>
      </c>
      <c r="D164" s="68">
        <v>70</v>
      </c>
      <c r="E164" s="69"/>
      <c r="F164" s="69"/>
      <c r="G164" s="69"/>
      <c r="H164" s="69"/>
      <c r="I164" s="69" t="s">
        <v>181</v>
      </c>
      <c r="J164" s="69" t="s">
        <v>38</v>
      </c>
      <c r="K164" s="212" t="s">
        <v>48</v>
      </c>
      <c r="L164" s="186" t="s">
        <v>182</v>
      </c>
      <c r="M164" s="69" t="str">
        <f>CapacityTable[[#This Row],[Model]]&amp;CapacityTable[[#This Row],[Type]]&amp;CapacityTable[[#This Row],[T ext]]&amp;CapacityTable[[#This Row],[T water out]]&amp;CapacityTable[[#This Row],[Results origin]]</f>
        <v>BLW Mono 6.1Max power1070Simulation values</v>
      </c>
    </row>
    <row r="165" spans="1:13" x14ac:dyDescent="0.25">
      <c r="A165" t="s">
        <v>23</v>
      </c>
      <c r="B165" s="68" t="s">
        <v>165</v>
      </c>
      <c r="C165" s="92">
        <v>12</v>
      </c>
      <c r="D165" s="68">
        <v>25</v>
      </c>
      <c r="E165" s="69">
        <v>7.1714042638597961</v>
      </c>
      <c r="F165" s="69">
        <v>1.0967064788079874</v>
      </c>
      <c r="G165" s="69">
        <v>6.3576973604506906</v>
      </c>
      <c r="H165" s="69">
        <v>1.2416913680885184</v>
      </c>
      <c r="I165" s="69" t="s">
        <v>181</v>
      </c>
      <c r="J165" s="69" t="s">
        <v>38</v>
      </c>
      <c r="K165" s="212" t="s">
        <v>48</v>
      </c>
      <c r="L165" s="186" t="s">
        <v>182</v>
      </c>
      <c r="M165" s="69" t="str">
        <f>CapacityTable[[#This Row],[Model]]&amp;CapacityTable[[#This Row],[Type]]&amp;CapacityTable[[#This Row],[T ext]]&amp;CapacityTable[[#This Row],[T water out]]&amp;CapacityTable[[#This Row],[Results origin]]</f>
        <v>BLW Mono 6.1Max power1225Simulation values</v>
      </c>
    </row>
    <row r="166" spans="1:13" x14ac:dyDescent="0.25">
      <c r="A166" t="s">
        <v>25</v>
      </c>
      <c r="B166" s="68" t="s">
        <v>165</v>
      </c>
      <c r="C166" s="92">
        <v>-10</v>
      </c>
      <c r="D166" s="92">
        <v>65</v>
      </c>
      <c r="E166" s="69">
        <v>7.4550382463174101</v>
      </c>
      <c r="F166" s="69">
        <v>4.1964318386111366</v>
      </c>
      <c r="G166" s="69">
        <v>1.7765183691830799</v>
      </c>
      <c r="H166" s="69">
        <v>0.74999999999999878</v>
      </c>
      <c r="I166" s="69" t="s">
        <v>181</v>
      </c>
      <c r="J166" s="69" t="s">
        <v>38</v>
      </c>
      <c r="K166" s="213" t="s">
        <v>183</v>
      </c>
      <c r="L166" s="69"/>
      <c r="M166" s="69" t="str">
        <f>CapacityTable[[#This Row],[Model]]&amp;CapacityTable[[#This Row],[Type]]&amp;CapacityTable[[#This Row],[T ext]]&amp;CapacityTable[[#This Row],[T water out]]&amp;CapacityTable[[#This Row],[Results origin]]</f>
        <v>BLW Mono 9.1Max power-1065Simulation values</v>
      </c>
    </row>
    <row r="167" spans="1:13" x14ac:dyDescent="0.25">
      <c r="A167" t="s">
        <v>23</v>
      </c>
      <c r="B167" s="68" t="s">
        <v>165</v>
      </c>
      <c r="C167" s="92">
        <v>12</v>
      </c>
      <c r="D167" s="92">
        <v>35</v>
      </c>
      <c r="E167" s="69">
        <v>7.1713581089173859</v>
      </c>
      <c r="F167" s="69">
        <v>1.4766010973706836</v>
      </c>
      <c r="G167" s="69">
        <v>4.761251100822026</v>
      </c>
      <c r="H167" s="69">
        <v>1.2461773742731712</v>
      </c>
      <c r="I167" s="69" t="s">
        <v>181</v>
      </c>
      <c r="J167" s="69" t="s">
        <v>38</v>
      </c>
      <c r="K167" s="213" t="s">
        <v>183</v>
      </c>
      <c r="L167" s="69"/>
      <c r="M167" s="69" t="str">
        <f>CapacityTable[[#This Row],[Model]]&amp;CapacityTable[[#This Row],[Type]]&amp;CapacityTable[[#This Row],[T ext]]&amp;CapacityTable[[#This Row],[T water out]]&amp;CapacityTable[[#This Row],[Results origin]]</f>
        <v>BLW Mono 6.1Max power1235Simulation values</v>
      </c>
    </row>
    <row r="168" spans="1:13" x14ac:dyDescent="0.25">
      <c r="A168" t="s">
        <v>23</v>
      </c>
      <c r="B168" s="68" t="s">
        <v>165</v>
      </c>
      <c r="C168" s="92">
        <v>12</v>
      </c>
      <c r="D168" s="68">
        <v>40</v>
      </c>
      <c r="E168" s="69">
        <v>7.1716572931565956</v>
      </c>
      <c r="F168" s="69">
        <v>1.6770292593361702</v>
      </c>
      <c r="G168" s="69">
        <v>4.2042530396705642</v>
      </c>
      <c r="H168" s="69">
        <v>1.248374834070167</v>
      </c>
      <c r="I168" s="69" t="s">
        <v>181</v>
      </c>
      <c r="J168" s="69" t="s">
        <v>38</v>
      </c>
      <c r="K168" s="212" t="s">
        <v>48</v>
      </c>
      <c r="L168" s="186" t="s">
        <v>182</v>
      </c>
      <c r="M168" s="69" t="str">
        <f>CapacityTable[[#This Row],[Model]]&amp;CapacityTable[[#This Row],[Type]]&amp;CapacityTable[[#This Row],[T ext]]&amp;CapacityTable[[#This Row],[T water out]]&amp;CapacityTable[[#This Row],[Results origin]]</f>
        <v>BLW Mono 6.1Max power1240Simulation values</v>
      </c>
    </row>
    <row r="169" spans="1:13" x14ac:dyDescent="0.25">
      <c r="A169" t="s">
        <v>23</v>
      </c>
      <c r="B169" s="68" t="s">
        <v>165</v>
      </c>
      <c r="C169" s="92">
        <v>12</v>
      </c>
      <c r="D169" s="92">
        <v>45</v>
      </c>
      <c r="E169" s="69">
        <v>7.171776278425293</v>
      </c>
      <c r="F169" s="69">
        <v>1.8879849164716764</v>
      </c>
      <c r="G169" s="69">
        <v>3.7433408757235922</v>
      </c>
      <c r="H169" s="69">
        <v>1.2505832290923171</v>
      </c>
      <c r="I169" s="69" t="s">
        <v>181</v>
      </c>
      <c r="J169" s="69" t="s">
        <v>38</v>
      </c>
      <c r="K169" s="213" t="s">
        <v>183</v>
      </c>
      <c r="L169" s="69"/>
      <c r="M169" s="69" t="str">
        <f>CapacityTable[[#This Row],[Model]]&amp;CapacityTable[[#This Row],[Type]]&amp;CapacityTable[[#This Row],[T ext]]&amp;CapacityTable[[#This Row],[T water out]]&amp;CapacityTable[[#This Row],[Results origin]]</f>
        <v>BLW Mono 6.1Max power1245Simulation values</v>
      </c>
    </row>
    <row r="170" spans="1:13" x14ac:dyDescent="0.25">
      <c r="A170" t="s">
        <v>23</v>
      </c>
      <c r="B170" s="68" t="s">
        <v>165</v>
      </c>
      <c r="C170" s="92">
        <v>12</v>
      </c>
      <c r="D170" s="68">
        <v>50</v>
      </c>
      <c r="E170" s="69">
        <v>7.1806286193546711</v>
      </c>
      <c r="F170" s="69">
        <v>2.0593795268584967</v>
      </c>
      <c r="G170" s="69">
        <v>3.4575783121953991</v>
      </c>
      <c r="H170" s="69">
        <v>0.78215804411846646</v>
      </c>
      <c r="I170" s="69" t="s">
        <v>181</v>
      </c>
      <c r="J170" s="69" t="s">
        <v>38</v>
      </c>
      <c r="K170" s="212" t="s">
        <v>48</v>
      </c>
      <c r="L170" s="186" t="s">
        <v>182</v>
      </c>
      <c r="M170" s="69" t="str">
        <f>CapacityTable[[#This Row],[Model]]&amp;CapacityTable[[#This Row],[Type]]&amp;CapacityTable[[#This Row],[T ext]]&amp;CapacityTable[[#This Row],[T water out]]&amp;CapacityTable[[#This Row],[Results origin]]</f>
        <v>BLW Mono 6.1Max power1250Simulation values</v>
      </c>
    </row>
    <row r="171" spans="1:13" x14ac:dyDescent="0.25">
      <c r="A171" t="s">
        <v>23</v>
      </c>
      <c r="B171" s="68" t="s">
        <v>165</v>
      </c>
      <c r="C171" s="92">
        <v>12</v>
      </c>
      <c r="D171" s="92">
        <v>55</v>
      </c>
      <c r="E171" s="69">
        <v>7.1806970140248136</v>
      </c>
      <c r="F171" s="69">
        <v>2.2995370930540977</v>
      </c>
      <c r="G171" s="69">
        <v>3.1000754978310288</v>
      </c>
      <c r="H171" s="69">
        <v>0.78351074134096921</v>
      </c>
      <c r="I171" s="69" t="s">
        <v>181</v>
      </c>
      <c r="J171" s="69" t="s">
        <v>38</v>
      </c>
      <c r="K171" s="213" t="s">
        <v>183</v>
      </c>
      <c r="L171" s="69"/>
      <c r="M171" s="69" t="str">
        <f>CapacityTable[[#This Row],[Model]]&amp;CapacityTable[[#This Row],[Type]]&amp;CapacityTable[[#This Row],[T ext]]&amp;CapacityTable[[#This Row],[T water out]]&amp;CapacityTable[[#This Row],[Results origin]]</f>
        <v>BLW Mono 6.1Max power1255Simulation values</v>
      </c>
    </row>
    <row r="172" spans="1:13" x14ac:dyDescent="0.25">
      <c r="A172" t="s">
        <v>23</v>
      </c>
      <c r="B172" s="68" t="s">
        <v>165</v>
      </c>
      <c r="C172" s="92">
        <v>12</v>
      </c>
      <c r="D172" s="68">
        <v>60</v>
      </c>
      <c r="E172" s="69">
        <v>7.1800840734628606</v>
      </c>
      <c r="F172" s="69">
        <v>2.5264676576522174</v>
      </c>
      <c r="G172" s="69">
        <v>2.8233372079236339</v>
      </c>
      <c r="H172" s="69">
        <v>0.62740598841794704</v>
      </c>
      <c r="I172" s="69" t="s">
        <v>181</v>
      </c>
      <c r="J172" s="69" t="s">
        <v>38</v>
      </c>
      <c r="K172" s="212" t="s">
        <v>48</v>
      </c>
      <c r="L172" s="186" t="s">
        <v>182</v>
      </c>
      <c r="M172" s="69" t="str">
        <f>CapacityTable[[#This Row],[Model]]&amp;CapacityTable[[#This Row],[Type]]&amp;CapacityTable[[#This Row],[T ext]]&amp;CapacityTable[[#This Row],[T water out]]&amp;CapacityTable[[#This Row],[Results origin]]</f>
        <v>BLW Mono 6.1Max power1260Simulation values</v>
      </c>
    </row>
    <row r="173" spans="1:13" x14ac:dyDescent="0.25">
      <c r="A173" t="s">
        <v>23</v>
      </c>
      <c r="B173" s="68" t="s">
        <v>165</v>
      </c>
      <c r="C173" s="92">
        <v>12</v>
      </c>
      <c r="D173" s="92">
        <v>65</v>
      </c>
      <c r="E173" s="69">
        <v>7.1801149399952342</v>
      </c>
      <c r="F173" s="69">
        <v>2.8124012110463168</v>
      </c>
      <c r="G173" s="69">
        <v>2.5386787514061049</v>
      </c>
      <c r="H173" s="69">
        <v>0.62850871814052389</v>
      </c>
      <c r="I173" s="69" t="s">
        <v>181</v>
      </c>
      <c r="J173" s="69" t="s">
        <v>38</v>
      </c>
      <c r="K173" s="213" t="s">
        <v>183</v>
      </c>
      <c r="L173" s="69"/>
      <c r="M173" s="69" t="str">
        <f>CapacityTable[[#This Row],[Model]]&amp;CapacityTable[[#This Row],[Type]]&amp;CapacityTable[[#This Row],[T ext]]&amp;CapacityTable[[#This Row],[T water out]]&amp;CapacityTable[[#This Row],[Results origin]]</f>
        <v>BLW Mono 6.1Max power1265Simulation values</v>
      </c>
    </row>
    <row r="174" spans="1:13" x14ac:dyDescent="0.25">
      <c r="A174" t="s">
        <v>23</v>
      </c>
      <c r="B174" s="68" t="s">
        <v>165</v>
      </c>
      <c r="C174" s="92">
        <v>12</v>
      </c>
      <c r="D174" s="68">
        <v>70</v>
      </c>
      <c r="E174" s="69">
        <v>7.1800899514401264</v>
      </c>
      <c r="F174" s="69">
        <v>3.1240323504986196</v>
      </c>
      <c r="G174" s="69">
        <v>2.2873426342699563</v>
      </c>
      <c r="H174" s="69">
        <v>0.62964171937128099</v>
      </c>
      <c r="I174" s="69" t="s">
        <v>181</v>
      </c>
      <c r="J174" s="69" t="s">
        <v>38</v>
      </c>
      <c r="K174" s="212" t="s">
        <v>48</v>
      </c>
      <c r="L174" s="186" t="s">
        <v>182</v>
      </c>
      <c r="M174" s="69" t="str">
        <f>CapacityTable[[#This Row],[Model]]&amp;CapacityTable[[#This Row],[Type]]&amp;CapacityTable[[#This Row],[T ext]]&amp;CapacityTable[[#This Row],[T water out]]&amp;CapacityTable[[#This Row],[Results origin]]</f>
        <v>BLW Mono 6.1Max power1270Simulation values</v>
      </c>
    </row>
    <row r="175" spans="1:13" x14ac:dyDescent="0.25">
      <c r="A175" t="s">
        <v>23</v>
      </c>
      <c r="B175" s="68" t="s">
        <v>165</v>
      </c>
      <c r="C175" s="92">
        <v>15</v>
      </c>
      <c r="D175" s="68">
        <v>25</v>
      </c>
      <c r="E175" s="69">
        <v>7.1715574474324217</v>
      </c>
      <c r="F175" s="69">
        <v>1.038843434798941</v>
      </c>
      <c r="G175" s="69">
        <v>6.6996169987390655</v>
      </c>
      <c r="H175" s="69">
        <v>1.2416909279020258</v>
      </c>
      <c r="I175" s="69" t="s">
        <v>181</v>
      </c>
      <c r="J175" s="69" t="s">
        <v>38</v>
      </c>
      <c r="K175" s="212" t="s">
        <v>48</v>
      </c>
      <c r="L175" s="186" t="s">
        <v>182</v>
      </c>
      <c r="M175" s="69" t="str">
        <f>CapacityTable[[#This Row],[Model]]&amp;CapacityTable[[#This Row],[Type]]&amp;CapacityTable[[#This Row],[T ext]]&amp;CapacityTable[[#This Row],[T water out]]&amp;CapacityTable[[#This Row],[Results origin]]</f>
        <v>BLW Mono 6.1Max power1525Simulation values</v>
      </c>
    </row>
    <row r="176" spans="1:13" x14ac:dyDescent="0.25">
      <c r="A176" t="s">
        <v>23</v>
      </c>
      <c r="B176" s="68" t="s">
        <v>165</v>
      </c>
      <c r="C176" s="92">
        <v>15</v>
      </c>
      <c r="D176" s="68">
        <v>35</v>
      </c>
      <c r="E176" s="69">
        <v>7.1716114996271667</v>
      </c>
      <c r="F176" s="69">
        <v>1.4063828665427165</v>
      </c>
      <c r="G176" s="69">
        <v>4.993044990537113</v>
      </c>
      <c r="H176" s="69">
        <v>1.2461866269204607</v>
      </c>
      <c r="I176" s="69" t="s">
        <v>181</v>
      </c>
      <c r="J176" s="69" t="s">
        <v>38</v>
      </c>
      <c r="K176" s="212" t="s">
        <v>48</v>
      </c>
      <c r="L176" s="186" t="s">
        <v>182</v>
      </c>
      <c r="M176" s="69" t="str">
        <f>CapacityTable[[#This Row],[Model]]&amp;CapacityTable[[#This Row],[Type]]&amp;CapacityTable[[#This Row],[T ext]]&amp;CapacityTable[[#This Row],[T water out]]&amp;CapacityTable[[#This Row],[Results origin]]</f>
        <v>BLW Mono 6.1Max power1535Simulation values</v>
      </c>
    </row>
    <row r="177" spans="1:13" x14ac:dyDescent="0.25">
      <c r="A177" t="s">
        <v>23</v>
      </c>
      <c r="B177" s="68" t="s">
        <v>165</v>
      </c>
      <c r="C177" s="92">
        <v>15</v>
      </c>
      <c r="D177" s="68">
        <v>40</v>
      </c>
      <c r="E177" s="69">
        <v>7.1717212205350007</v>
      </c>
      <c r="F177" s="69">
        <v>1.6003643781366161</v>
      </c>
      <c r="G177" s="69">
        <v>4.4012155026159778</v>
      </c>
      <c r="H177" s="69">
        <v>1.2483908998886668</v>
      </c>
      <c r="I177" s="69" t="s">
        <v>181</v>
      </c>
      <c r="J177" s="69" t="s">
        <v>38</v>
      </c>
      <c r="K177" s="212" t="s">
        <v>48</v>
      </c>
      <c r="L177" s="186" t="s">
        <v>182</v>
      </c>
      <c r="M177" s="69" t="str">
        <f>CapacityTable[[#This Row],[Model]]&amp;CapacityTable[[#This Row],[Type]]&amp;CapacityTable[[#This Row],[T ext]]&amp;CapacityTable[[#This Row],[T water out]]&amp;CapacityTable[[#This Row],[Results origin]]</f>
        <v>BLW Mono 6.1Max power1540Simulation values</v>
      </c>
    </row>
    <row r="178" spans="1:13" x14ac:dyDescent="0.25">
      <c r="A178" t="s">
        <v>23</v>
      </c>
      <c r="B178" s="68" t="s">
        <v>165</v>
      </c>
      <c r="C178" s="92">
        <v>15</v>
      </c>
      <c r="D178" s="68">
        <v>45</v>
      </c>
      <c r="E178" s="69">
        <v>7.1715988909947281</v>
      </c>
      <c r="F178" s="69">
        <v>1.8063314077025139</v>
      </c>
      <c r="G178" s="69">
        <v>3.9092983772894785</v>
      </c>
      <c r="H178" s="69">
        <v>1.2505899623533856</v>
      </c>
      <c r="I178" s="69" t="s">
        <v>181</v>
      </c>
      <c r="J178" s="69" t="s">
        <v>38</v>
      </c>
      <c r="K178" s="212" t="s">
        <v>48</v>
      </c>
      <c r="L178" s="186" t="s">
        <v>186</v>
      </c>
      <c r="M178" s="69" t="str">
        <f>CapacityTable[[#This Row],[Model]]&amp;CapacityTable[[#This Row],[Type]]&amp;CapacityTable[[#This Row],[T ext]]&amp;CapacityTable[[#This Row],[T water out]]&amp;CapacityTable[[#This Row],[Results origin]]</f>
        <v>BLW Mono 6.1Max power1545Simulation values</v>
      </c>
    </row>
    <row r="179" spans="1:13" x14ac:dyDescent="0.25">
      <c r="A179" t="s">
        <v>23</v>
      </c>
      <c r="B179" s="68" t="s">
        <v>165</v>
      </c>
      <c r="C179" s="92">
        <v>15</v>
      </c>
      <c r="D179" s="68">
        <v>50</v>
      </c>
      <c r="E179" s="69">
        <v>7.1806802112688013</v>
      </c>
      <c r="F179" s="69">
        <v>1.9754144702003535</v>
      </c>
      <c r="G179" s="69">
        <v>3.6028308730056002</v>
      </c>
      <c r="H179" s="69">
        <v>0.78215811452682393</v>
      </c>
      <c r="I179" s="69" t="s">
        <v>181</v>
      </c>
      <c r="J179" s="69" t="s">
        <v>38</v>
      </c>
      <c r="K179" s="212" t="s">
        <v>48</v>
      </c>
      <c r="L179" s="186" t="s">
        <v>182</v>
      </c>
      <c r="M179" s="69" t="str">
        <f>CapacityTable[[#This Row],[Model]]&amp;CapacityTable[[#This Row],[Type]]&amp;CapacityTable[[#This Row],[T ext]]&amp;CapacityTable[[#This Row],[T water out]]&amp;CapacityTable[[#This Row],[Results origin]]</f>
        <v>BLW Mono 6.1Max power1550Simulation values</v>
      </c>
    </row>
    <row r="180" spans="1:13" x14ac:dyDescent="0.25">
      <c r="A180" t="s">
        <v>23</v>
      </c>
      <c r="B180" s="68" t="s">
        <v>165</v>
      </c>
      <c r="C180" s="92">
        <v>15</v>
      </c>
      <c r="D180" s="68">
        <v>55</v>
      </c>
      <c r="E180" s="69">
        <v>7.1806011366308837</v>
      </c>
      <c r="F180" s="69">
        <v>2.2136647128093263</v>
      </c>
      <c r="G180" s="69">
        <v>3.2191118822406359</v>
      </c>
      <c r="H180" s="69">
        <v>0.78351105168092638</v>
      </c>
      <c r="I180" s="69" t="s">
        <v>181</v>
      </c>
      <c r="J180" s="69" t="s">
        <v>38</v>
      </c>
      <c r="K180" s="212" t="s">
        <v>48</v>
      </c>
      <c r="L180" s="186" t="s">
        <v>186</v>
      </c>
      <c r="M180" s="69" t="str">
        <f>CapacityTable[[#This Row],[Model]]&amp;CapacityTable[[#This Row],[Type]]&amp;CapacityTable[[#This Row],[T ext]]&amp;CapacityTable[[#This Row],[T water out]]&amp;CapacityTable[[#This Row],[Results origin]]</f>
        <v>BLW Mono 6.1Max power1555Simulation values</v>
      </c>
    </row>
    <row r="181" spans="1:13" x14ac:dyDescent="0.25">
      <c r="A181" t="s">
        <v>23</v>
      </c>
      <c r="B181" s="68" t="s">
        <v>165</v>
      </c>
      <c r="C181" s="92">
        <v>15</v>
      </c>
      <c r="D181" s="68">
        <v>60</v>
      </c>
      <c r="E181" s="69">
        <v>7.1801113989000518</v>
      </c>
      <c r="F181" s="69">
        <v>2.4370555634164224</v>
      </c>
      <c r="G181" s="69">
        <v>2.9259139452569309</v>
      </c>
      <c r="H181" s="69">
        <v>0.62740643863236323</v>
      </c>
      <c r="I181" s="69" t="s">
        <v>181</v>
      </c>
      <c r="J181" s="69" t="s">
        <v>38</v>
      </c>
      <c r="K181" s="212" t="s">
        <v>48</v>
      </c>
      <c r="L181" s="186" t="s">
        <v>182</v>
      </c>
      <c r="M181" s="69" t="str">
        <f>CapacityTable[[#This Row],[Model]]&amp;CapacityTable[[#This Row],[Type]]&amp;CapacityTable[[#This Row],[T ext]]&amp;CapacityTable[[#This Row],[T water out]]&amp;CapacityTable[[#This Row],[Results origin]]</f>
        <v>BLW Mono 6.1Max power1560Simulation values</v>
      </c>
    </row>
    <row r="182" spans="1:13" x14ac:dyDescent="0.25">
      <c r="A182" t="s">
        <v>23</v>
      </c>
      <c r="B182" s="68" t="s">
        <v>165</v>
      </c>
      <c r="C182" s="92">
        <v>15</v>
      </c>
      <c r="D182" s="92">
        <v>65</v>
      </c>
      <c r="E182" s="69">
        <v>7.1801208364046101</v>
      </c>
      <c r="F182" s="69">
        <v>2.7142432304606445</v>
      </c>
      <c r="G182" s="69">
        <v>2.6296884706905788</v>
      </c>
      <c r="H182" s="69">
        <v>0.62850886783936089</v>
      </c>
      <c r="I182" s="69" t="s">
        <v>181</v>
      </c>
      <c r="J182" s="69" t="s">
        <v>38</v>
      </c>
      <c r="K182" s="212" t="s">
        <v>48</v>
      </c>
      <c r="L182" s="186" t="s">
        <v>182</v>
      </c>
      <c r="M182" s="69" t="str">
        <f>CapacityTable[[#This Row],[Model]]&amp;CapacityTable[[#This Row],[Type]]&amp;CapacityTable[[#This Row],[T ext]]&amp;CapacityTable[[#This Row],[T water out]]&amp;CapacityTable[[#This Row],[Results origin]]</f>
        <v>BLW Mono 6.1Max power1565Simulation values</v>
      </c>
    </row>
    <row r="183" spans="1:13" x14ac:dyDescent="0.25">
      <c r="A183" t="s">
        <v>23</v>
      </c>
      <c r="B183" s="68" t="s">
        <v>165</v>
      </c>
      <c r="C183" s="92">
        <v>15</v>
      </c>
      <c r="D183" s="68">
        <v>70</v>
      </c>
      <c r="E183" s="69">
        <v>7.1801024961346656</v>
      </c>
      <c r="F183" s="69">
        <v>3.0176646239394045</v>
      </c>
      <c r="G183" s="69">
        <v>2.3673401056928993</v>
      </c>
      <c r="H183" s="69">
        <v>0.62964531982597638</v>
      </c>
      <c r="I183" s="69" t="s">
        <v>181</v>
      </c>
      <c r="J183" s="69" t="s">
        <v>38</v>
      </c>
      <c r="K183" s="212" t="s">
        <v>48</v>
      </c>
      <c r="L183" s="186" t="s">
        <v>182</v>
      </c>
      <c r="M183" s="69" t="str">
        <f>CapacityTable[[#This Row],[Model]]&amp;CapacityTable[[#This Row],[Type]]&amp;CapacityTable[[#This Row],[T ext]]&amp;CapacityTable[[#This Row],[T water out]]&amp;CapacityTable[[#This Row],[Results origin]]</f>
        <v>BLW Mono 6.1Max power1570Simulation values</v>
      </c>
    </row>
    <row r="184" spans="1:13" x14ac:dyDescent="0.25">
      <c r="A184" t="s">
        <v>23</v>
      </c>
      <c r="B184" s="68" t="s">
        <v>165</v>
      </c>
      <c r="C184" s="92">
        <v>20</v>
      </c>
      <c r="D184" s="68">
        <v>25</v>
      </c>
      <c r="E184" s="69">
        <v>7.1715364786403253</v>
      </c>
      <c r="F184" s="69">
        <v>0.89004442808433482</v>
      </c>
      <c r="G184" s="69">
        <v>7.7764582528867594</v>
      </c>
      <c r="H184" s="69">
        <v>1.2416937539478048</v>
      </c>
      <c r="I184" s="69" t="s">
        <v>181</v>
      </c>
      <c r="J184" s="69" t="s">
        <v>38</v>
      </c>
      <c r="K184" s="212" t="s">
        <v>48</v>
      </c>
      <c r="L184" s="186" t="s">
        <v>182</v>
      </c>
      <c r="M184" s="69" t="str">
        <f>CapacityTable[[#This Row],[Model]]&amp;CapacityTable[[#This Row],[Type]]&amp;CapacityTable[[#This Row],[T ext]]&amp;CapacityTable[[#This Row],[T water out]]&amp;CapacityTable[[#This Row],[Results origin]]</f>
        <v>BLW Mono 6.1Max power2025Simulation values</v>
      </c>
    </row>
    <row r="185" spans="1:13" x14ac:dyDescent="0.25">
      <c r="A185" t="s">
        <v>23</v>
      </c>
      <c r="B185" s="68" t="s">
        <v>165</v>
      </c>
      <c r="C185" s="92">
        <v>20</v>
      </c>
      <c r="D185" s="92">
        <v>35</v>
      </c>
      <c r="E185" s="69">
        <v>7.1714161850342215</v>
      </c>
      <c r="F185" s="69">
        <v>1.2281387323341948</v>
      </c>
      <c r="G185" s="69">
        <v>5.6973450768258331</v>
      </c>
      <c r="H185" s="69">
        <v>1.2461790514093019</v>
      </c>
      <c r="I185" s="69" t="s">
        <v>181</v>
      </c>
      <c r="J185" s="69" t="s">
        <v>38</v>
      </c>
      <c r="K185" s="213" t="s">
        <v>183</v>
      </c>
      <c r="L185" s="69"/>
      <c r="M185" s="69" t="str">
        <f>CapacityTable[[#This Row],[Model]]&amp;CapacityTable[[#This Row],[Type]]&amp;CapacityTable[[#This Row],[T ext]]&amp;CapacityTable[[#This Row],[T water out]]&amp;CapacityTable[[#This Row],[Results origin]]</f>
        <v>BLW Mono 6.1Max power2035Simulation values</v>
      </c>
    </row>
    <row r="186" spans="1:13" x14ac:dyDescent="0.25">
      <c r="A186" t="s">
        <v>23</v>
      </c>
      <c r="B186" s="68" t="s">
        <v>165</v>
      </c>
      <c r="C186" s="92">
        <v>20</v>
      </c>
      <c r="D186" s="68">
        <v>40</v>
      </c>
      <c r="E186" s="69">
        <v>7.1716934711148577</v>
      </c>
      <c r="F186" s="69">
        <v>1.404082433340639</v>
      </c>
      <c r="G186" s="69">
        <v>5.001366999755505</v>
      </c>
      <c r="H186" s="69">
        <v>1.2483788216217639</v>
      </c>
      <c r="I186" s="69" t="s">
        <v>181</v>
      </c>
      <c r="J186" s="69" t="s">
        <v>38</v>
      </c>
      <c r="K186" s="212" t="s">
        <v>48</v>
      </c>
      <c r="L186" s="186" t="s">
        <v>182</v>
      </c>
      <c r="M186" s="69" t="str">
        <f>CapacityTable[[#This Row],[Model]]&amp;CapacityTable[[#This Row],[Type]]&amp;CapacityTable[[#This Row],[T ext]]&amp;CapacityTable[[#This Row],[T water out]]&amp;CapacityTable[[#This Row],[Results origin]]</f>
        <v>BLW Mono 6.1Max power2040Simulation values</v>
      </c>
    </row>
    <row r="187" spans="1:13" x14ac:dyDescent="0.25">
      <c r="A187" t="s">
        <v>23</v>
      </c>
      <c r="B187" s="68" t="s">
        <v>156</v>
      </c>
      <c r="C187" s="92">
        <v>-15</v>
      </c>
      <c r="D187" s="68">
        <v>50</v>
      </c>
      <c r="E187" s="69">
        <v>3.3004670822345501</v>
      </c>
      <c r="F187" s="69">
        <v>1.7897884698554918</v>
      </c>
      <c r="G187" s="69">
        <v>1.84405427670513</v>
      </c>
      <c r="H187" s="69">
        <v>0.432</v>
      </c>
      <c r="I187" s="69" t="s">
        <v>181</v>
      </c>
      <c r="J187" s="69" t="s">
        <v>38</v>
      </c>
      <c r="K187" s="212" t="s">
        <v>48</v>
      </c>
      <c r="L187" s="186" t="s">
        <v>182</v>
      </c>
      <c r="M187" s="69" t="str">
        <f>CapacityTable[[#This Row],[Model]]&amp;CapacityTable[[#This Row],[Type]]&amp;CapacityTable[[#This Row],[T ext]]&amp;CapacityTable[[#This Row],[T water out]]&amp;CapacityTable[[#This Row],[Results origin]]</f>
        <v>BLW Mono 6.1Best COP-1550Simulation values</v>
      </c>
    </row>
    <row r="188" spans="1:13" x14ac:dyDescent="0.25">
      <c r="A188" t="s">
        <v>25</v>
      </c>
      <c r="B188" s="68" t="s">
        <v>165</v>
      </c>
      <c r="C188" s="92">
        <v>-10</v>
      </c>
      <c r="D188" s="68">
        <v>70</v>
      </c>
      <c r="E188" s="69">
        <v>6.9193702501489298</v>
      </c>
      <c r="F188" s="69">
        <v>4.1776188749313441</v>
      </c>
      <c r="G188" s="69">
        <v>1.6562952383402001</v>
      </c>
      <c r="H188" s="69">
        <v>0.74999999999999878</v>
      </c>
      <c r="I188" s="69" t="s">
        <v>181</v>
      </c>
      <c r="J188" s="69" t="s">
        <v>38</v>
      </c>
      <c r="K188" s="212" t="s">
        <v>48</v>
      </c>
      <c r="L188" s="186" t="s">
        <v>182</v>
      </c>
      <c r="M188" s="69" t="str">
        <f>CapacityTable[[#This Row],[Model]]&amp;CapacityTable[[#This Row],[Type]]&amp;CapacityTable[[#This Row],[T ext]]&amp;CapacityTable[[#This Row],[T water out]]&amp;CapacityTable[[#This Row],[Results origin]]</f>
        <v>BLW Mono 9.1Max power-1070Simulation values</v>
      </c>
    </row>
    <row r="189" spans="1:13" x14ac:dyDescent="0.25">
      <c r="A189" t="s">
        <v>25</v>
      </c>
      <c r="B189" s="68" t="s">
        <v>166</v>
      </c>
      <c r="C189" s="92">
        <v>-10</v>
      </c>
      <c r="D189" s="92">
        <v>65</v>
      </c>
      <c r="E189" s="69">
        <v>2.5145819296257002</v>
      </c>
      <c r="F189" s="69">
        <v>1.5107878416289404</v>
      </c>
      <c r="G189" s="69">
        <v>1.66441763716768</v>
      </c>
      <c r="H189" s="69">
        <v>0.74999999999999878</v>
      </c>
      <c r="I189" s="69" t="s">
        <v>181</v>
      </c>
      <c r="J189" s="69" t="s">
        <v>38</v>
      </c>
      <c r="K189" s="213" t="s">
        <v>183</v>
      </c>
      <c r="L189" s="69" t="s">
        <v>184</v>
      </c>
      <c r="M189" s="69" t="str">
        <f>CapacityTable[[#This Row],[Model]]&amp;CapacityTable[[#This Row],[Type]]&amp;CapacityTable[[#This Row],[T ext]]&amp;CapacityTable[[#This Row],[T water out]]&amp;CapacityTable[[#This Row],[Results origin]]</f>
        <v>BLW Mono 9.1Min power-1065Simulation values</v>
      </c>
    </row>
    <row r="190" spans="1:13" x14ac:dyDescent="0.25">
      <c r="A190" t="s">
        <v>25</v>
      </c>
      <c r="B190" s="68" t="s">
        <v>156</v>
      </c>
      <c r="C190" s="92">
        <v>-15</v>
      </c>
      <c r="D190" s="68">
        <v>50</v>
      </c>
      <c r="E190" s="69">
        <v>5.4842603942103798</v>
      </c>
      <c r="F190" s="69">
        <v>2.6669040171548715</v>
      </c>
      <c r="G190" s="69">
        <v>2.0564146136992001</v>
      </c>
      <c r="H190" s="69">
        <v>0.74999999999999878</v>
      </c>
      <c r="I190" s="69" t="s">
        <v>181</v>
      </c>
      <c r="J190" s="69" t="s">
        <v>38</v>
      </c>
      <c r="K190" s="212" t="s">
        <v>48</v>
      </c>
      <c r="L190" s="186" t="s">
        <v>182</v>
      </c>
      <c r="M190" s="69" t="str">
        <f>CapacityTable[[#This Row],[Model]]&amp;CapacityTable[[#This Row],[Type]]&amp;CapacityTable[[#This Row],[T ext]]&amp;CapacityTable[[#This Row],[T water out]]&amp;CapacityTable[[#This Row],[Results origin]]</f>
        <v>BLW Mono 9.1Best COP-1550Simulation values</v>
      </c>
    </row>
    <row r="191" spans="1:13" x14ac:dyDescent="0.25">
      <c r="A191" t="s">
        <v>25</v>
      </c>
      <c r="B191" s="68" t="s">
        <v>166</v>
      </c>
      <c r="C191" s="92">
        <v>-10</v>
      </c>
      <c r="D191" s="68">
        <v>70</v>
      </c>
      <c r="E191" s="69">
        <v>2.7732005316148003</v>
      </c>
      <c r="F191" s="69">
        <v>1.7756107835227417</v>
      </c>
      <c r="G191" s="69">
        <v>1.56182906600335</v>
      </c>
      <c r="H191" s="69">
        <v>0.74999999999999878</v>
      </c>
      <c r="I191" s="69" t="s">
        <v>181</v>
      </c>
      <c r="J191" s="69" t="s">
        <v>38</v>
      </c>
      <c r="K191" s="212" t="s">
        <v>48</v>
      </c>
      <c r="L191" s="186" t="s">
        <v>182</v>
      </c>
      <c r="M191" s="69" t="str">
        <f>CapacityTable[[#This Row],[Model]]&amp;CapacityTable[[#This Row],[Type]]&amp;CapacityTable[[#This Row],[T ext]]&amp;CapacityTable[[#This Row],[T water out]]&amp;CapacityTable[[#This Row],[Results origin]]</f>
        <v>BLW Mono 9.1Min power-1070Simulation values</v>
      </c>
    </row>
    <row r="192" spans="1:13" x14ac:dyDescent="0.25">
      <c r="A192" t="s">
        <v>23</v>
      </c>
      <c r="B192" s="68" t="s">
        <v>156</v>
      </c>
      <c r="C192" s="92">
        <v>-15</v>
      </c>
      <c r="D192" s="68">
        <v>55</v>
      </c>
      <c r="E192" s="69">
        <v>3.2593423588422303</v>
      </c>
      <c r="F192" s="69">
        <v>1.8994063059329482</v>
      </c>
      <c r="G192" s="69">
        <v>1.7159795398495901</v>
      </c>
      <c r="H192" s="69">
        <v>0.432</v>
      </c>
      <c r="I192" s="69" t="s">
        <v>181</v>
      </c>
      <c r="J192" s="69" t="s">
        <v>38</v>
      </c>
      <c r="K192" s="212" t="s">
        <v>48</v>
      </c>
      <c r="L192" s="186" t="s">
        <v>186</v>
      </c>
      <c r="M192" s="69" t="str">
        <f>CapacityTable[[#This Row],[Model]]&amp;CapacityTable[[#This Row],[Type]]&amp;CapacityTable[[#This Row],[T ext]]&amp;CapacityTable[[#This Row],[T water out]]&amp;CapacityTable[[#This Row],[Results origin]]</f>
        <v>BLW Mono 6.1Best COP-1555Simulation values</v>
      </c>
    </row>
    <row r="193" spans="1:13" x14ac:dyDescent="0.25">
      <c r="A193" t="s">
        <v>25</v>
      </c>
      <c r="B193" s="68" t="s">
        <v>156</v>
      </c>
      <c r="C193" s="92">
        <v>-15</v>
      </c>
      <c r="D193" s="68">
        <v>55</v>
      </c>
      <c r="E193" s="69">
        <v>5.4181028147065202</v>
      </c>
      <c r="F193" s="69">
        <v>2.8439464160129604</v>
      </c>
      <c r="G193" s="69">
        <v>1.9051353373606701</v>
      </c>
      <c r="H193" s="69">
        <v>0.74999999999999878</v>
      </c>
      <c r="I193" s="69" t="s">
        <v>181</v>
      </c>
      <c r="J193" s="69" t="s">
        <v>38</v>
      </c>
      <c r="K193" s="212" t="s">
        <v>48</v>
      </c>
      <c r="L193" s="186" t="s">
        <v>186</v>
      </c>
      <c r="M193" s="69" t="str">
        <f>CapacityTable[[#This Row],[Model]]&amp;CapacityTable[[#This Row],[Type]]&amp;CapacityTable[[#This Row],[T ext]]&amp;CapacityTable[[#This Row],[T water out]]&amp;CapacityTable[[#This Row],[Results origin]]</f>
        <v>BLW Mono 9.1Best COP-1555Simulation values</v>
      </c>
    </row>
    <row r="194" spans="1:13" x14ac:dyDescent="0.25">
      <c r="A194" t="s">
        <v>23</v>
      </c>
      <c r="B194" s="68" t="s">
        <v>156</v>
      </c>
      <c r="C194" s="92">
        <v>-15</v>
      </c>
      <c r="D194" s="68">
        <v>60</v>
      </c>
      <c r="E194" s="69">
        <v>3.21492440189847</v>
      </c>
      <c r="F194" s="69">
        <v>2.0167825544146853</v>
      </c>
      <c r="G194" s="69">
        <v>1.5940857852330601</v>
      </c>
      <c r="H194" s="69">
        <v>0.432</v>
      </c>
      <c r="I194" s="69" t="s">
        <v>181</v>
      </c>
      <c r="J194" s="69" t="s">
        <v>38</v>
      </c>
      <c r="K194" s="212" t="s">
        <v>48</v>
      </c>
      <c r="L194" s="186" t="s">
        <v>182</v>
      </c>
      <c r="M194" s="69" t="str">
        <f>CapacityTable[[#This Row],[Model]]&amp;CapacityTable[[#This Row],[Type]]&amp;CapacityTable[[#This Row],[T ext]]&amp;CapacityTable[[#This Row],[T water out]]&amp;CapacityTable[[#This Row],[Results origin]]</f>
        <v>BLW Mono 6.1Best COP-1560Simulation values</v>
      </c>
    </row>
    <row r="195" spans="1:13" x14ac:dyDescent="0.25">
      <c r="A195" t="s">
        <v>25</v>
      </c>
      <c r="B195" s="68" t="s">
        <v>156</v>
      </c>
      <c r="C195" s="92">
        <v>-15</v>
      </c>
      <c r="D195" s="68">
        <v>60</v>
      </c>
      <c r="E195" s="69">
        <v>5.3574240480426099</v>
      </c>
      <c r="F195" s="69">
        <v>3.0300495828391689</v>
      </c>
      <c r="G195" s="69">
        <v>1.7680978154234299</v>
      </c>
      <c r="H195" s="69">
        <v>0.74999999999999878</v>
      </c>
      <c r="I195" s="69" t="s">
        <v>181</v>
      </c>
      <c r="J195" s="69" t="s">
        <v>38</v>
      </c>
      <c r="K195" s="212" t="s">
        <v>48</v>
      </c>
      <c r="L195" s="186" t="s">
        <v>182</v>
      </c>
      <c r="M195" s="69" t="str">
        <f>CapacityTable[[#This Row],[Model]]&amp;CapacityTable[[#This Row],[Type]]&amp;CapacityTable[[#This Row],[T ext]]&amp;CapacityTable[[#This Row],[T water out]]&amp;CapacityTable[[#This Row],[Results origin]]</f>
        <v>BLW Mono 9.1Best COP-1560Simulation values</v>
      </c>
    </row>
    <row r="196" spans="1:13" x14ac:dyDescent="0.25">
      <c r="A196" t="s">
        <v>23</v>
      </c>
      <c r="B196" s="68" t="s">
        <v>156</v>
      </c>
      <c r="C196" s="92">
        <v>-15</v>
      </c>
      <c r="D196" s="92">
        <v>65</v>
      </c>
      <c r="E196" s="69">
        <v>3.1674165013792197</v>
      </c>
      <c r="F196" s="69">
        <v>2.1436623869308598</v>
      </c>
      <c r="G196" s="69">
        <v>1.47757245762664</v>
      </c>
      <c r="H196" s="69">
        <v>0.432</v>
      </c>
      <c r="I196" s="69" t="s">
        <v>181</v>
      </c>
      <c r="J196" s="69" t="s">
        <v>38</v>
      </c>
      <c r="K196" s="212" t="s">
        <v>48</v>
      </c>
      <c r="L196" s="186" t="s">
        <v>182</v>
      </c>
      <c r="M196" s="69" t="str">
        <f>CapacityTable[[#This Row],[Model]]&amp;CapacityTable[[#This Row],[Type]]&amp;CapacityTable[[#This Row],[T ext]]&amp;CapacityTable[[#This Row],[T water out]]&amp;CapacityTable[[#This Row],[Results origin]]</f>
        <v>BLW Mono 6.1Best COP-1565Simulation values</v>
      </c>
    </row>
    <row r="197" spans="1:13" x14ac:dyDescent="0.25">
      <c r="A197" t="s">
        <v>25</v>
      </c>
      <c r="B197" s="68" t="s">
        <v>156</v>
      </c>
      <c r="C197" s="92">
        <v>-15</v>
      </c>
      <c r="D197" s="92">
        <v>65</v>
      </c>
      <c r="E197" s="69">
        <v>5.3023622206637304</v>
      </c>
      <c r="F197" s="69">
        <v>3.2250000647928916</v>
      </c>
      <c r="G197" s="69">
        <v>1.6441432912046301</v>
      </c>
      <c r="H197" s="69">
        <v>0.74999999999999878</v>
      </c>
      <c r="I197" s="69" t="s">
        <v>181</v>
      </c>
      <c r="J197" s="69" t="s">
        <v>38</v>
      </c>
      <c r="K197" s="212" t="s">
        <v>48</v>
      </c>
      <c r="L197" s="186" t="s">
        <v>182</v>
      </c>
      <c r="M197" s="69" t="str">
        <f>CapacityTable[[#This Row],[Model]]&amp;CapacityTable[[#This Row],[Type]]&amp;CapacityTable[[#This Row],[T ext]]&amp;CapacityTable[[#This Row],[T water out]]&amp;CapacityTable[[#This Row],[Results origin]]</f>
        <v>BLW Mono 9.1Best COP-1565Simulation values</v>
      </c>
    </row>
    <row r="198" spans="1:13" x14ac:dyDescent="0.25">
      <c r="A198" t="s">
        <v>23</v>
      </c>
      <c r="B198" s="68" t="s">
        <v>156</v>
      </c>
      <c r="C198" s="92">
        <v>-15</v>
      </c>
      <c r="D198" s="68">
        <v>70</v>
      </c>
      <c r="E198" s="69" t="s">
        <v>185</v>
      </c>
      <c r="F198" s="69" t="s">
        <v>185</v>
      </c>
      <c r="G198" s="69" t="s">
        <v>185</v>
      </c>
      <c r="H198" s="69" t="s">
        <v>185</v>
      </c>
      <c r="I198" s="69" t="s">
        <v>181</v>
      </c>
      <c r="J198" s="69" t="s">
        <v>38</v>
      </c>
      <c r="K198" s="212" t="s">
        <v>48</v>
      </c>
      <c r="L198" s="186" t="s">
        <v>182</v>
      </c>
      <c r="M198" s="69" t="str">
        <f>CapacityTable[[#This Row],[Model]]&amp;CapacityTable[[#This Row],[Type]]&amp;CapacityTable[[#This Row],[T ext]]&amp;CapacityTable[[#This Row],[T water out]]&amp;CapacityTable[[#This Row],[Results origin]]</f>
        <v>BLW Mono 6.1Best COP-1570Simulation values</v>
      </c>
    </row>
    <row r="199" spans="1:13" x14ac:dyDescent="0.25">
      <c r="A199" t="s">
        <v>25</v>
      </c>
      <c r="B199" s="68" t="s">
        <v>156</v>
      </c>
      <c r="C199" s="92">
        <v>-15</v>
      </c>
      <c r="D199" s="68">
        <v>70</v>
      </c>
      <c r="E199" s="69" t="s">
        <v>185</v>
      </c>
      <c r="F199" s="69" t="s">
        <v>185</v>
      </c>
      <c r="G199" s="69" t="s">
        <v>185</v>
      </c>
      <c r="H199" s="69" t="s">
        <v>185</v>
      </c>
      <c r="I199" s="69" t="s">
        <v>181</v>
      </c>
      <c r="J199" s="69" t="s">
        <v>38</v>
      </c>
      <c r="K199" s="212" t="s">
        <v>48</v>
      </c>
      <c r="L199" s="186" t="s">
        <v>182</v>
      </c>
      <c r="M199" s="69" t="str">
        <f>CapacityTable[[#This Row],[Model]]&amp;CapacityTable[[#This Row],[Type]]&amp;CapacityTable[[#This Row],[T ext]]&amp;CapacityTable[[#This Row],[T water out]]&amp;CapacityTable[[#This Row],[Results origin]]</f>
        <v>BLW Mono 9.1Best COP-1570Simulation values</v>
      </c>
    </row>
    <row r="200" spans="1:13" x14ac:dyDescent="0.25">
      <c r="A200" t="s">
        <v>23</v>
      </c>
      <c r="B200" s="68" t="s">
        <v>156</v>
      </c>
      <c r="C200" s="92">
        <v>-10</v>
      </c>
      <c r="D200" s="68">
        <v>25</v>
      </c>
      <c r="E200" s="69">
        <v>2.7818204178791799</v>
      </c>
      <c r="F200" s="69">
        <v>0.82278244700725833</v>
      </c>
      <c r="G200" s="69">
        <v>3.3809914491948798</v>
      </c>
      <c r="H200" s="69">
        <v>0.48297391764422765</v>
      </c>
      <c r="I200" s="69" t="s">
        <v>181</v>
      </c>
      <c r="J200" s="69" t="s">
        <v>38</v>
      </c>
      <c r="K200" s="212" t="s">
        <v>48</v>
      </c>
      <c r="L200" s="186" t="s">
        <v>182</v>
      </c>
      <c r="M200" s="69" t="str">
        <f>CapacityTable[[#This Row],[Model]]&amp;CapacityTable[[#This Row],[Type]]&amp;CapacityTable[[#This Row],[T ext]]&amp;CapacityTable[[#This Row],[T water out]]&amp;CapacityTable[[#This Row],[Results origin]]</f>
        <v>BLW Mono 6.1Best COP-1025Simulation values</v>
      </c>
    </row>
    <row r="201" spans="1:13" x14ac:dyDescent="0.25">
      <c r="A201" t="s">
        <v>25</v>
      </c>
      <c r="B201" s="68" t="s">
        <v>156</v>
      </c>
      <c r="C201" s="92">
        <v>-10</v>
      </c>
      <c r="D201" s="68">
        <v>25</v>
      </c>
      <c r="E201" s="69">
        <v>2.5419714511505398</v>
      </c>
      <c r="F201" s="69">
        <v>0.68436375663759896</v>
      </c>
      <c r="G201" s="69">
        <v>3.71435720623152</v>
      </c>
      <c r="H201" s="69">
        <v>0.74999999999999878</v>
      </c>
      <c r="I201" s="69" t="s">
        <v>181</v>
      </c>
      <c r="J201" s="69" t="s">
        <v>38</v>
      </c>
      <c r="K201" s="212" t="s">
        <v>48</v>
      </c>
      <c r="L201" s="186" t="s">
        <v>182</v>
      </c>
      <c r="M201" s="69" t="str">
        <f>CapacityTable[[#This Row],[Model]]&amp;CapacityTable[[#This Row],[Type]]&amp;CapacityTable[[#This Row],[T ext]]&amp;CapacityTable[[#This Row],[T water out]]&amp;CapacityTable[[#This Row],[Results origin]]</f>
        <v>BLW Mono 9.1Best COP-1025Simulation values</v>
      </c>
    </row>
    <row r="202" spans="1:13" x14ac:dyDescent="0.25">
      <c r="A202" t="s">
        <v>23</v>
      </c>
      <c r="B202" s="68" t="s">
        <v>156</v>
      </c>
      <c r="C202" s="92">
        <v>-10</v>
      </c>
      <c r="D202" s="92">
        <v>35</v>
      </c>
      <c r="E202" s="69">
        <v>2.9162568159699398</v>
      </c>
      <c r="F202" s="69">
        <v>1.0903660205583063</v>
      </c>
      <c r="G202" s="69">
        <v>2.6745668527681299</v>
      </c>
      <c r="H202" s="69">
        <v>0.50804889977745726</v>
      </c>
      <c r="I202" s="69" t="s">
        <v>181</v>
      </c>
      <c r="J202" s="69" t="s">
        <v>38</v>
      </c>
      <c r="K202" s="212" t="s">
        <v>48</v>
      </c>
      <c r="L202" s="186" t="s">
        <v>187</v>
      </c>
      <c r="M202" s="69" t="str">
        <f>CapacityTable[[#This Row],[Model]]&amp;CapacityTable[[#This Row],[Type]]&amp;CapacityTable[[#This Row],[T ext]]&amp;CapacityTable[[#This Row],[T water out]]&amp;CapacityTable[[#This Row],[Results origin]]</f>
        <v>BLW Mono 6.1Best COP-1035Simulation values</v>
      </c>
    </row>
    <row r="203" spans="1:13" x14ac:dyDescent="0.25">
      <c r="A203" t="s">
        <v>25</v>
      </c>
      <c r="B203" s="68" t="s">
        <v>156</v>
      </c>
      <c r="C203" s="92">
        <v>-10</v>
      </c>
      <c r="D203" s="92">
        <v>35</v>
      </c>
      <c r="E203" s="69">
        <v>4.8548667291329206</v>
      </c>
      <c r="F203" s="69">
        <v>1.6325691516903853</v>
      </c>
      <c r="G203" s="69">
        <v>2.9737587067023301</v>
      </c>
      <c r="H203" s="69">
        <v>0.84449101611019317</v>
      </c>
      <c r="I203" s="69" t="s">
        <v>181</v>
      </c>
      <c r="J203" s="69" t="s">
        <v>38</v>
      </c>
      <c r="K203" s="212" t="s">
        <v>48</v>
      </c>
      <c r="L203" s="186" t="s">
        <v>187</v>
      </c>
      <c r="M203" s="69" t="str">
        <f>CapacityTable[[#This Row],[Model]]&amp;CapacityTable[[#This Row],[Type]]&amp;CapacityTable[[#This Row],[T ext]]&amp;CapacityTable[[#This Row],[T water out]]&amp;CapacityTable[[#This Row],[Results origin]]</f>
        <v>BLW Mono 9.1Best COP-1035Simulation values</v>
      </c>
    </row>
    <row r="204" spans="1:13" x14ac:dyDescent="0.25">
      <c r="A204" t="s">
        <v>23</v>
      </c>
      <c r="B204" s="68" t="s">
        <v>156</v>
      </c>
      <c r="C204" s="92">
        <v>-10</v>
      </c>
      <c r="D204" s="68">
        <v>40</v>
      </c>
      <c r="E204" s="69">
        <v>2.8643783154074498</v>
      </c>
      <c r="F204" s="69">
        <v>1.1754819438234823</v>
      </c>
      <c r="G204" s="69">
        <v>2.4367693016963798</v>
      </c>
      <c r="H204" s="69">
        <v>0.4999316757803568</v>
      </c>
      <c r="I204" s="69" t="s">
        <v>181</v>
      </c>
      <c r="J204" s="69" t="s">
        <v>38</v>
      </c>
      <c r="K204" s="212" t="s">
        <v>48</v>
      </c>
      <c r="L204" s="186" t="s">
        <v>182</v>
      </c>
      <c r="M204" s="69" t="str">
        <f>CapacityTable[[#This Row],[Model]]&amp;CapacityTable[[#This Row],[Type]]&amp;CapacityTable[[#This Row],[T ext]]&amp;CapacityTable[[#This Row],[T water out]]&amp;CapacityTable[[#This Row],[Results origin]]</f>
        <v>BLW Mono 6.1Best COP-1040Simulation values</v>
      </c>
    </row>
    <row r="205" spans="1:13" x14ac:dyDescent="0.25">
      <c r="A205" t="s">
        <v>25</v>
      </c>
      <c r="B205" s="68" t="s">
        <v>156</v>
      </c>
      <c r="C205" s="92">
        <v>-10</v>
      </c>
      <c r="D205" s="68">
        <v>40</v>
      </c>
      <c r="E205" s="69">
        <v>5.2147401608202797</v>
      </c>
      <c r="F205" s="69">
        <v>1.928855990101294</v>
      </c>
      <c r="G205" s="69">
        <v>2.7035404341131901</v>
      </c>
      <c r="H205" s="69">
        <v>0.90841603576586039</v>
      </c>
      <c r="I205" s="69" t="s">
        <v>181</v>
      </c>
      <c r="J205" s="69" t="s">
        <v>38</v>
      </c>
      <c r="K205" s="212" t="s">
        <v>48</v>
      </c>
      <c r="L205" s="186" t="s">
        <v>182</v>
      </c>
      <c r="M205" s="69" t="str">
        <f>CapacityTable[[#This Row],[Model]]&amp;CapacityTable[[#This Row],[Type]]&amp;CapacityTable[[#This Row],[T ext]]&amp;CapacityTable[[#This Row],[T water out]]&amp;CapacityTable[[#This Row],[Results origin]]</f>
        <v>BLW Mono 9.1Best COP-1040Simulation values</v>
      </c>
    </row>
    <row r="206" spans="1:13" x14ac:dyDescent="0.25">
      <c r="A206" t="s">
        <v>23</v>
      </c>
      <c r="B206" s="68" t="s">
        <v>156</v>
      </c>
      <c r="C206" s="92">
        <v>-10</v>
      </c>
      <c r="D206" s="92">
        <v>45</v>
      </c>
      <c r="E206" s="69">
        <v>3.0950961313722503</v>
      </c>
      <c r="F206" s="69">
        <v>1.3845882433819983</v>
      </c>
      <c r="G206" s="69">
        <v>2.2353910241301498</v>
      </c>
      <c r="H206" s="69">
        <v>0.54096983433915125</v>
      </c>
      <c r="I206" s="69" t="s">
        <v>181</v>
      </c>
      <c r="J206" s="69" t="s">
        <v>38</v>
      </c>
      <c r="K206" s="212" t="s">
        <v>48</v>
      </c>
      <c r="L206" s="186" t="s">
        <v>186</v>
      </c>
      <c r="M206" s="69" t="str">
        <f>CapacityTable[[#This Row],[Model]]&amp;CapacityTable[[#This Row],[Type]]&amp;CapacityTable[[#This Row],[T ext]]&amp;CapacityTable[[#This Row],[T water out]]&amp;CapacityTable[[#This Row],[Results origin]]</f>
        <v>BLW Mono 6.1Best COP-1045Simulation values</v>
      </c>
    </row>
    <row r="207" spans="1:13" x14ac:dyDescent="0.25">
      <c r="A207" t="s">
        <v>25</v>
      </c>
      <c r="B207" s="68" t="s">
        <v>156</v>
      </c>
      <c r="C207" s="92">
        <v>-10</v>
      </c>
      <c r="D207" s="92">
        <v>45</v>
      </c>
      <c r="E207" s="69">
        <v>5.5647908918534705</v>
      </c>
      <c r="F207" s="69">
        <v>2.2538250052900453</v>
      </c>
      <c r="G207" s="69">
        <v>2.4690430174446201</v>
      </c>
      <c r="H207" s="69">
        <v>0.97082559840440885</v>
      </c>
      <c r="I207" s="69" t="s">
        <v>181</v>
      </c>
      <c r="J207" s="69" t="s">
        <v>38</v>
      </c>
      <c r="K207" s="212" t="s">
        <v>48</v>
      </c>
      <c r="L207" s="186" t="s">
        <v>182</v>
      </c>
      <c r="M207" s="69" t="str">
        <f>CapacityTable[[#This Row],[Model]]&amp;CapacityTable[[#This Row],[Type]]&amp;CapacityTable[[#This Row],[T ext]]&amp;CapacityTable[[#This Row],[T water out]]&amp;CapacityTable[[#This Row],[Results origin]]</f>
        <v>BLW Mono 9.1Best COP-1045Simulation values</v>
      </c>
    </row>
    <row r="208" spans="1:13" x14ac:dyDescent="0.25">
      <c r="A208" t="s">
        <v>23</v>
      </c>
      <c r="B208" s="68" t="s">
        <v>156</v>
      </c>
      <c r="C208" s="92">
        <v>-10</v>
      </c>
      <c r="D208" s="68">
        <v>50</v>
      </c>
      <c r="E208" s="69">
        <v>3.32551289420282</v>
      </c>
      <c r="F208" s="69">
        <v>1.5996315829300409</v>
      </c>
      <c r="G208" s="69">
        <v>2.0789242533655701</v>
      </c>
      <c r="H208" s="69">
        <v>0.432</v>
      </c>
      <c r="I208" s="69" t="s">
        <v>181</v>
      </c>
      <c r="J208" s="69" t="s">
        <v>38</v>
      </c>
      <c r="K208" s="212" t="s">
        <v>48</v>
      </c>
      <c r="L208" s="186" t="s">
        <v>182</v>
      </c>
      <c r="M208" s="69" t="str">
        <f>CapacityTable[[#This Row],[Model]]&amp;CapacityTable[[#This Row],[Type]]&amp;CapacityTable[[#This Row],[T ext]]&amp;CapacityTable[[#This Row],[T water out]]&amp;CapacityTable[[#This Row],[Results origin]]</f>
        <v>BLW Mono 6.1Best COP-1050Simulation values</v>
      </c>
    </row>
    <row r="209" spans="1:13" x14ac:dyDescent="0.25">
      <c r="A209" t="s">
        <v>25</v>
      </c>
      <c r="B209" s="68" t="s">
        <v>156</v>
      </c>
      <c r="C209" s="92">
        <v>-10</v>
      </c>
      <c r="D209" s="68">
        <v>50</v>
      </c>
      <c r="E209" s="69">
        <v>5.9191777981847302</v>
      </c>
      <c r="F209" s="69">
        <v>2.5905068729324459</v>
      </c>
      <c r="G209" s="69">
        <v>2.2849496598649202</v>
      </c>
      <c r="H209" s="69">
        <v>0.74999999999999878</v>
      </c>
      <c r="I209" s="69" t="s">
        <v>181</v>
      </c>
      <c r="J209" s="69" t="s">
        <v>38</v>
      </c>
      <c r="K209" s="212" t="s">
        <v>48</v>
      </c>
      <c r="L209" s="186" t="s">
        <v>182</v>
      </c>
      <c r="M209" s="69" t="str">
        <f>CapacityTable[[#This Row],[Model]]&amp;CapacityTable[[#This Row],[Type]]&amp;CapacityTable[[#This Row],[T ext]]&amp;CapacityTable[[#This Row],[T water out]]&amp;CapacityTable[[#This Row],[Results origin]]</f>
        <v>BLW Mono 9.1Best COP-1050Simulation values</v>
      </c>
    </row>
    <row r="210" spans="1:13" x14ac:dyDescent="0.25">
      <c r="A210" t="s">
        <v>23</v>
      </c>
      <c r="B210" s="68" t="s">
        <v>156</v>
      </c>
      <c r="C210" s="92">
        <v>-10</v>
      </c>
      <c r="D210" s="92">
        <v>55</v>
      </c>
      <c r="E210" s="69">
        <v>3.82572556016714</v>
      </c>
      <c r="F210" s="69">
        <v>1.9934963888610195</v>
      </c>
      <c r="G210" s="69">
        <v>1.91910333098369</v>
      </c>
      <c r="H210" s="69">
        <v>0.432</v>
      </c>
      <c r="I210" s="69" t="s">
        <v>181</v>
      </c>
      <c r="J210" s="69" t="s">
        <v>38</v>
      </c>
      <c r="K210" s="212" t="s">
        <v>48</v>
      </c>
      <c r="L210" s="186" t="s">
        <v>187</v>
      </c>
      <c r="M210" s="69" t="str">
        <f>CapacityTable[[#This Row],[Model]]&amp;CapacityTable[[#This Row],[Type]]&amp;CapacityTable[[#This Row],[T ext]]&amp;CapacityTable[[#This Row],[T water out]]&amp;CapacityTable[[#This Row],[Results origin]]</f>
        <v>BLW Mono 6.1Best COP-1055Simulation values</v>
      </c>
    </row>
    <row r="211" spans="1:13" x14ac:dyDescent="0.25">
      <c r="A211" t="s">
        <v>25</v>
      </c>
      <c r="B211" s="68" t="s">
        <v>156</v>
      </c>
      <c r="C211" s="92">
        <v>-10</v>
      </c>
      <c r="D211" s="92">
        <v>55</v>
      </c>
      <c r="E211" s="69">
        <v>6.2490213157675196</v>
      </c>
      <c r="F211" s="69">
        <v>2.9748367509124534</v>
      </c>
      <c r="G211" s="69">
        <v>2.10062663568036</v>
      </c>
      <c r="H211" s="69">
        <v>0.74999999999999878</v>
      </c>
      <c r="I211" s="69" t="s">
        <v>181</v>
      </c>
      <c r="J211" s="69" t="s">
        <v>38</v>
      </c>
      <c r="K211" s="212" t="s">
        <v>48</v>
      </c>
      <c r="L211" s="186" t="s">
        <v>187</v>
      </c>
      <c r="M211" s="69" t="str">
        <f>CapacityTable[[#This Row],[Model]]&amp;CapacityTable[[#This Row],[Type]]&amp;CapacityTable[[#This Row],[T ext]]&amp;CapacityTable[[#This Row],[T water out]]&amp;CapacityTable[[#This Row],[Results origin]]</f>
        <v>BLW Mono 9.1Best COP-1055Simulation values</v>
      </c>
    </row>
    <row r="212" spans="1:13" x14ac:dyDescent="0.25">
      <c r="A212" t="s">
        <v>23</v>
      </c>
      <c r="B212" s="68" t="s">
        <v>156</v>
      </c>
      <c r="C212" s="92">
        <v>-10</v>
      </c>
      <c r="D212" s="68">
        <v>60</v>
      </c>
      <c r="E212" s="69">
        <v>3.76032690636365</v>
      </c>
      <c r="F212" s="69">
        <v>2.1217220911855721</v>
      </c>
      <c r="G212" s="69">
        <v>1.7722994552328299</v>
      </c>
      <c r="H212" s="69">
        <v>0.432</v>
      </c>
      <c r="I212" s="69" t="s">
        <v>181</v>
      </c>
      <c r="J212" s="69" t="s">
        <v>38</v>
      </c>
      <c r="K212" s="212" t="s">
        <v>48</v>
      </c>
      <c r="L212" s="186" t="s">
        <v>182</v>
      </c>
      <c r="M212" s="69" t="str">
        <f>CapacityTable[[#This Row],[Model]]&amp;CapacityTable[[#This Row],[Type]]&amp;CapacityTable[[#This Row],[T ext]]&amp;CapacityTable[[#This Row],[T water out]]&amp;CapacityTable[[#This Row],[Results origin]]</f>
        <v>BLW Mono 6.1Best COP-1060Simulation values</v>
      </c>
    </row>
    <row r="213" spans="1:13" x14ac:dyDescent="0.25">
      <c r="A213" t="s">
        <v>25</v>
      </c>
      <c r="B213" s="68" t="s">
        <v>156</v>
      </c>
      <c r="C213" s="92">
        <v>-10</v>
      </c>
      <c r="D213" s="68">
        <v>60</v>
      </c>
      <c r="E213" s="69">
        <v>6.1589344306889195</v>
      </c>
      <c r="F213" s="69">
        <v>3.1806256303015212</v>
      </c>
      <c r="G213" s="69">
        <v>1.9363908697752199</v>
      </c>
      <c r="H213" s="69">
        <v>0.74999999999999878</v>
      </c>
      <c r="I213" s="69" t="s">
        <v>181</v>
      </c>
      <c r="J213" s="69" t="s">
        <v>38</v>
      </c>
      <c r="K213" s="212" t="s">
        <v>48</v>
      </c>
      <c r="L213" s="186" t="s">
        <v>182</v>
      </c>
      <c r="M213" s="69" t="str">
        <f>CapacityTable[[#This Row],[Model]]&amp;CapacityTable[[#This Row],[Type]]&amp;CapacityTable[[#This Row],[T ext]]&amp;CapacityTable[[#This Row],[T water out]]&amp;CapacityTable[[#This Row],[Results origin]]</f>
        <v>BLW Mono 9.1Best COP-1060Simulation values</v>
      </c>
    </row>
    <row r="214" spans="1:13" x14ac:dyDescent="0.25">
      <c r="A214" t="s">
        <v>23</v>
      </c>
      <c r="B214" s="68" t="s">
        <v>156</v>
      </c>
      <c r="C214" s="92">
        <v>-10</v>
      </c>
      <c r="D214" s="92">
        <v>65</v>
      </c>
      <c r="E214" s="69">
        <v>3.6919340702968797</v>
      </c>
      <c r="F214" s="69">
        <v>2.2590978979222762</v>
      </c>
      <c r="G214" s="69">
        <v>1.6342514743130001</v>
      </c>
      <c r="H214" s="69">
        <v>0.432</v>
      </c>
      <c r="I214" s="69" t="s">
        <v>181</v>
      </c>
      <c r="J214" s="69" t="s">
        <v>38</v>
      </c>
      <c r="K214" s="212" t="s">
        <v>48</v>
      </c>
      <c r="L214" s="186" t="s">
        <v>182</v>
      </c>
      <c r="M214" s="69" t="str">
        <f>CapacityTable[[#This Row],[Model]]&amp;CapacityTable[[#This Row],[Type]]&amp;CapacityTable[[#This Row],[T ext]]&amp;CapacityTable[[#This Row],[T water out]]&amp;CapacityTable[[#This Row],[Results origin]]</f>
        <v>BLW Mono 6.1Best COP-1065Simulation values</v>
      </c>
    </row>
    <row r="215" spans="1:13" x14ac:dyDescent="0.25">
      <c r="A215" t="s">
        <v>25</v>
      </c>
      <c r="B215" s="68" t="s">
        <v>156</v>
      </c>
      <c r="C215" s="92">
        <v>-10</v>
      </c>
      <c r="D215" s="92">
        <v>65</v>
      </c>
      <c r="E215" s="69">
        <v>6.0714111840352398</v>
      </c>
      <c r="F215" s="69">
        <v>3.3956261440520961</v>
      </c>
      <c r="G215" s="69">
        <v>1.7880093174185701</v>
      </c>
      <c r="H215" s="69">
        <v>0.74999999999999878</v>
      </c>
      <c r="I215" s="69" t="s">
        <v>181</v>
      </c>
      <c r="J215" s="69" t="s">
        <v>38</v>
      </c>
      <c r="K215" s="212" t="s">
        <v>48</v>
      </c>
      <c r="L215" s="186" t="s">
        <v>182</v>
      </c>
      <c r="M215" s="69" t="str">
        <f>CapacityTable[[#This Row],[Model]]&amp;CapacityTable[[#This Row],[Type]]&amp;CapacityTable[[#This Row],[T ext]]&amp;CapacityTable[[#This Row],[T water out]]&amp;CapacityTable[[#This Row],[Results origin]]</f>
        <v>BLW Mono 9.1Best COP-1065Simulation values</v>
      </c>
    </row>
    <row r="216" spans="1:13" x14ac:dyDescent="0.25">
      <c r="A216" t="s">
        <v>23</v>
      </c>
      <c r="B216" s="68" t="s">
        <v>156</v>
      </c>
      <c r="C216" s="92">
        <v>-10</v>
      </c>
      <c r="D216" s="68">
        <v>70</v>
      </c>
      <c r="E216" s="69">
        <v>3.62143750772809</v>
      </c>
      <c r="F216" s="69">
        <v>2.40789191167549</v>
      </c>
      <c r="G216" s="69">
        <v>1.5039867405045499</v>
      </c>
      <c r="H216" s="69">
        <v>0.432</v>
      </c>
      <c r="I216" s="69" t="s">
        <v>181</v>
      </c>
      <c r="J216" s="69" t="s">
        <v>38</v>
      </c>
      <c r="K216" s="212" t="s">
        <v>48</v>
      </c>
      <c r="L216" s="186" t="s">
        <v>182</v>
      </c>
      <c r="M216" s="69" t="str">
        <f>CapacityTable[[#This Row],[Model]]&amp;CapacityTable[[#This Row],[Type]]&amp;CapacityTable[[#This Row],[T ext]]&amp;CapacityTable[[#This Row],[T water out]]&amp;CapacityTable[[#This Row],[Results origin]]</f>
        <v>BLW Mono 6.1Best COP-1070Simulation values</v>
      </c>
    </row>
    <row r="217" spans="1:13" x14ac:dyDescent="0.25">
      <c r="A217" t="s">
        <v>25</v>
      </c>
      <c r="B217" s="68" t="s">
        <v>156</v>
      </c>
      <c r="C217" s="92">
        <v>-10</v>
      </c>
      <c r="D217" s="68">
        <v>70</v>
      </c>
      <c r="E217" s="69">
        <v>5.9876216546042995</v>
      </c>
      <c r="F217" s="69">
        <v>3.6193226915013543</v>
      </c>
      <c r="G217" s="69">
        <v>1.6543486627108499</v>
      </c>
      <c r="H217" s="69">
        <v>0.74999999999999878</v>
      </c>
      <c r="I217" s="69" t="s">
        <v>181</v>
      </c>
      <c r="J217" s="69" t="s">
        <v>38</v>
      </c>
      <c r="K217" s="212" t="s">
        <v>48</v>
      </c>
      <c r="L217" s="186" t="s">
        <v>182</v>
      </c>
      <c r="M217" s="69" t="str">
        <f>CapacityTable[[#This Row],[Model]]&amp;CapacityTable[[#This Row],[Type]]&amp;CapacityTable[[#This Row],[T ext]]&amp;CapacityTable[[#This Row],[T water out]]&amp;CapacityTable[[#This Row],[Results origin]]</f>
        <v>BLW Mono 9.1Best COP-1070Simulation values</v>
      </c>
    </row>
    <row r="218" spans="1:13" x14ac:dyDescent="0.25">
      <c r="A218" t="s">
        <v>23</v>
      </c>
      <c r="B218" s="68" t="s">
        <v>156</v>
      </c>
      <c r="C218" s="92">
        <v>-7</v>
      </c>
      <c r="D218" s="68">
        <v>25</v>
      </c>
      <c r="E218" s="69">
        <v>3.0825234136586301</v>
      </c>
      <c r="F218" s="69">
        <v>0.83141643807044352</v>
      </c>
      <c r="G218" s="69">
        <v>3.7075564933651899</v>
      </c>
      <c r="H218" s="69">
        <v>0.53494884925840447</v>
      </c>
      <c r="I218" s="69" t="s">
        <v>181</v>
      </c>
      <c r="J218" s="69" t="s">
        <v>38</v>
      </c>
      <c r="K218" s="212" t="s">
        <v>48</v>
      </c>
      <c r="L218" s="186" t="s">
        <v>182</v>
      </c>
      <c r="M218" s="69" t="str">
        <f>CapacityTable[[#This Row],[Model]]&amp;CapacityTable[[#This Row],[Type]]&amp;CapacityTable[[#This Row],[T ext]]&amp;CapacityTable[[#This Row],[T water out]]&amp;CapacityTable[[#This Row],[Results origin]]</f>
        <v>BLW Mono 6.1Best COP-725Simulation values</v>
      </c>
    </row>
    <row r="219" spans="1:13" x14ac:dyDescent="0.25">
      <c r="A219" t="s">
        <v>25</v>
      </c>
      <c r="B219" s="68" t="s">
        <v>156</v>
      </c>
      <c r="C219" s="92">
        <v>-7</v>
      </c>
      <c r="D219" s="68">
        <v>25</v>
      </c>
      <c r="E219" s="69">
        <v>2.4523856038278198</v>
      </c>
      <c r="F219" s="69">
        <v>0.61073238185198575</v>
      </c>
      <c r="G219" s="69">
        <v>4.0154831751203401</v>
      </c>
      <c r="H219" s="69">
        <v>0.74999999999999878</v>
      </c>
      <c r="I219" s="69" t="s">
        <v>181</v>
      </c>
      <c r="J219" s="69" t="s">
        <v>38</v>
      </c>
      <c r="K219" s="212" t="s">
        <v>48</v>
      </c>
      <c r="L219" s="186" t="s">
        <v>182</v>
      </c>
      <c r="M219" s="69" t="str">
        <f>CapacityTable[[#This Row],[Model]]&amp;CapacityTable[[#This Row],[Type]]&amp;CapacityTable[[#This Row],[T ext]]&amp;CapacityTable[[#This Row],[T water out]]&amp;CapacityTable[[#This Row],[Results origin]]</f>
        <v>BLW Mono 9.1Best COP-725Simulation values</v>
      </c>
    </row>
    <row r="220" spans="1:13" x14ac:dyDescent="0.25">
      <c r="A220" t="s">
        <v>23</v>
      </c>
      <c r="B220" s="68" t="s">
        <v>156</v>
      </c>
      <c r="C220" s="92">
        <v>-7</v>
      </c>
      <c r="D220" s="92">
        <v>35</v>
      </c>
      <c r="E220" s="69">
        <v>3.2318049951949201</v>
      </c>
      <c r="F220" s="69">
        <v>1.1094697570662189</v>
      </c>
      <c r="G220" s="69">
        <v>2.9129275265157402</v>
      </c>
      <c r="H220" s="69">
        <v>0.56276653676904353</v>
      </c>
      <c r="I220" s="69" t="s">
        <v>181</v>
      </c>
      <c r="J220" s="69" t="s">
        <v>38</v>
      </c>
      <c r="K220" s="212" t="s">
        <v>48</v>
      </c>
      <c r="L220" s="186" t="s">
        <v>182</v>
      </c>
      <c r="M220" s="69" t="str">
        <f>CapacityTable[[#This Row],[Model]]&amp;CapacityTable[[#This Row],[Type]]&amp;CapacityTable[[#This Row],[T ext]]&amp;CapacityTable[[#This Row],[T water out]]&amp;CapacityTable[[#This Row],[Results origin]]</f>
        <v>BLW Mono 6.1Best COP-735Simulation values</v>
      </c>
    </row>
    <row r="221" spans="1:13" x14ac:dyDescent="0.25">
      <c r="A221" t="s">
        <v>25</v>
      </c>
      <c r="B221" s="68" t="s">
        <v>156</v>
      </c>
      <c r="C221" s="92">
        <v>-7</v>
      </c>
      <c r="D221" s="92">
        <v>35</v>
      </c>
      <c r="E221" s="69">
        <v>4.8293723324422002</v>
      </c>
      <c r="F221" s="69">
        <v>1.5010085194027183</v>
      </c>
      <c r="G221" s="69">
        <v>3.21741833574929</v>
      </c>
      <c r="H221" s="69">
        <v>0.84007492758961566</v>
      </c>
      <c r="I221" s="69" t="s">
        <v>181</v>
      </c>
      <c r="J221" s="69" t="s">
        <v>38</v>
      </c>
      <c r="K221" s="212" t="s">
        <v>48</v>
      </c>
      <c r="L221" s="186" t="s">
        <v>182</v>
      </c>
      <c r="M221" s="69" t="str">
        <f>CapacityTable[[#This Row],[Model]]&amp;CapacityTable[[#This Row],[Type]]&amp;CapacityTable[[#This Row],[T ext]]&amp;CapacityTable[[#This Row],[T water out]]&amp;CapacityTable[[#This Row],[Results origin]]</f>
        <v>BLW Mono 9.1Best COP-735Simulation values</v>
      </c>
    </row>
    <row r="222" spans="1:13" x14ac:dyDescent="0.25">
      <c r="A222" t="s">
        <v>23</v>
      </c>
      <c r="B222" s="68" t="s">
        <v>156</v>
      </c>
      <c r="C222" s="68">
        <v>-7</v>
      </c>
      <c r="D222" s="92">
        <v>35</v>
      </c>
      <c r="E222" s="69">
        <v>2.5299999999999998</v>
      </c>
      <c r="F222" s="69">
        <v>0.8</v>
      </c>
      <c r="G222" s="69">
        <v>3.18</v>
      </c>
      <c r="H222" s="69">
        <v>0.48</v>
      </c>
      <c r="I222" s="69" t="s">
        <v>181</v>
      </c>
      <c r="J222" s="69" t="s">
        <v>188</v>
      </c>
      <c r="K222" s="212" t="s">
        <v>55</v>
      </c>
      <c r="L222" s="186"/>
      <c r="M222" s="69" t="str">
        <f>CapacityTable[[#This Row],[Model]]&amp;CapacityTable[[#This Row],[Type]]&amp;CapacityTable[[#This Row],[T ext]]&amp;CapacityTable[[#This Row],[T water out]]&amp;CapacityTable[[#This Row],[Results origin]]</f>
        <v>BLW Mono 6.1Best COP-735Test values</v>
      </c>
    </row>
    <row r="223" spans="1:13" x14ac:dyDescent="0.25">
      <c r="A223" t="s">
        <v>25</v>
      </c>
      <c r="B223" s="68" t="s">
        <v>156</v>
      </c>
      <c r="C223" s="216">
        <v>-7</v>
      </c>
      <c r="D223" s="92">
        <v>35</v>
      </c>
      <c r="E223" s="69">
        <v>3.7282000000000002</v>
      </c>
      <c r="F223" s="69">
        <v>1.0911</v>
      </c>
      <c r="G223" s="69">
        <v>3.4169999999999998</v>
      </c>
      <c r="H223" s="69">
        <v>0.75</v>
      </c>
      <c r="I223" s="69" t="s">
        <v>181</v>
      </c>
      <c r="J223" s="69" t="s">
        <v>188</v>
      </c>
      <c r="K223" s="213" t="s">
        <v>56</v>
      </c>
      <c r="L223" s="186"/>
      <c r="M223" s="69" t="str">
        <f>CapacityTable[[#This Row],[Model]]&amp;CapacityTable[[#This Row],[Type]]&amp;CapacityTable[[#This Row],[T ext]]&amp;CapacityTable[[#This Row],[T water out]]&amp;CapacityTable[[#This Row],[Results origin]]</f>
        <v>BLW Mono 9.1Best COP-735Test values</v>
      </c>
    </row>
    <row r="224" spans="1:13" x14ac:dyDescent="0.25">
      <c r="A224" t="s">
        <v>23</v>
      </c>
      <c r="B224" s="68" t="s">
        <v>156</v>
      </c>
      <c r="C224" s="92">
        <v>-7</v>
      </c>
      <c r="D224" s="68">
        <v>40</v>
      </c>
      <c r="E224" s="69">
        <v>3.1711962984139999</v>
      </c>
      <c r="F224" s="69">
        <v>1.199049865288603</v>
      </c>
      <c r="G224" s="69">
        <v>2.6447576453800901</v>
      </c>
      <c r="H224" s="69">
        <v>0.55323638312429513</v>
      </c>
      <c r="I224" s="69" t="s">
        <v>181</v>
      </c>
      <c r="J224" s="69" t="s">
        <v>38</v>
      </c>
      <c r="K224" s="212" t="s">
        <v>48</v>
      </c>
      <c r="L224" s="186" t="s">
        <v>182</v>
      </c>
      <c r="M224" s="69" t="str">
        <f>CapacityTable[[#This Row],[Model]]&amp;CapacityTable[[#This Row],[Type]]&amp;CapacityTable[[#This Row],[T ext]]&amp;CapacityTable[[#This Row],[T water out]]&amp;CapacityTable[[#This Row],[Results origin]]</f>
        <v>BLW Mono 6.1Best COP-740Simulation values</v>
      </c>
    </row>
    <row r="225" spans="1:13" x14ac:dyDescent="0.25">
      <c r="A225" t="s">
        <v>25</v>
      </c>
      <c r="B225" s="68" t="s">
        <v>156</v>
      </c>
      <c r="C225" s="92">
        <v>-7</v>
      </c>
      <c r="D225" s="68">
        <v>40</v>
      </c>
      <c r="E225" s="69">
        <v>5.2226638292896199</v>
      </c>
      <c r="F225" s="69">
        <v>1.7949984847840157</v>
      </c>
      <c r="G225" s="69">
        <v>2.9095644779433001</v>
      </c>
      <c r="H225" s="69">
        <v>0.9097884159328693</v>
      </c>
      <c r="I225" s="69" t="s">
        <v>181</v>
      </c>
      <c r="J225" s="69" t="s">
        <v>38</v>
      </c>
      <c r="K225" s="212" t="s">
        <v>48</v>
      </c>
      <c r="L225" s="186" t="s">
        <v>182</v>
      </c>
      <c r="M225" s="69" t="str">
        <f>CapacityTable[[#This Row],[Model]]&amp;CapacityTable[[#This Row],[Type]]&amp;CapacityTable[[#This Row],[T ext]]&amp;CapacityTable[[#This Row],[T water out]]&amp;CapacityTable[[#This Row],[Results origin]]</f>
        <v>BLW Mono 9.1Best COP-740Simulation values</v>
      </c>
    </row>
    <row r="226" spans="1:13" x14ac:dyDescent="0.25">
      <c r="A226" t="s">
        <v>23</v>
      </c>
      <c r="B226" s="68" t="s">
        <v>156</v>
      </c>
      <c r="C226" s="92">
        <v>-7</v>
      </c>
      <c r="D226" s="92">
        <v>45</v>
      </c>
      <c r="E226" s="69">
        <v>3.1181837431699</v>
      </c>
      <c r="F226" s="69">
        <v>1.2899121308906469</v>
      </c>
      <c r="G226" s="69">
        <v>2.4173613601237198</v>
      </c>
      <c r="H226" s="69">
        <v>0.54498936137208476</v>
      </c>
      <c r="I226" s="69" t="s">
        <v>181</v>
      </c>
      <c r="J226" s="69" t="s">
        <v>38</v>
      </c>
      <c r="K226" s="212" t="s">
        <v>48</v>
      </c>
      <c r="L226" s="186" t="s">
        <v>186</v>
      </c>
      <c r="M226" s="69" t="str">
        <f>CapacityTable[[#This Row],[Model]]&amp;CapacityTable[[#This Row],[Type]]&amp;CapacityTable[[#This Row],[T ext]]&amp;CapacityTable[[#This Row],[T water out]]&amp;CapacityTable[[#This Row],[Results origin]]</f>
        <v>BLW Mono 6.1Best COP-745Simulation values</v>
      </c>
    </row>
    <row r="227" spans="1:13" x14ac:dyDescent="0.25">
      <c r="A227" t="s">
        <v>25</v>
      </c>
      <c r="B227" s="68" t="s">
        <v>156</v>
      </c>
      <c r="C227" s="92">
        <v>-7</v>
      </c>
      <c r="D227" s="92">
        <v>45</v>
      </c>
      <c r="E227" s="69">
        <v>5.6052249450594198</v>
      </c>
      <c r="F227" s="69">
        <v>2.1213687606384428</v>
      </c>
      <c r="G227" s="69">
        <v>2.64226807194638</v>
      </c>
      <c r="H227" s="69">
        <v>0.9778363049402532</v>
      </c>
      <c r="I227" s="69" t="s">
        <v>181</v>
      </c>
      <c r="J227" s="69" t="s">
        <v>38</v>
      </c>
      <c r="K227" s="212" t="s">
        <v>48</v>
      </c>
      <c r="L227" s="186" t="s">
        <v>182</v>
      </c>
      <c r="M227" s="69" t="str">
        <f>CapacityTable[[#This Row],[Model]]&amp;CapacityTable[[#This Row],[Type]]&amp;CapacityTable[[#This Row],[T ext]]&amp;CapacityTable[[#This Row],[T water out]]&amp;CapacityTable[[#This Row],[Results origin]]</f>
        <v>BLW Mono 9.1Best COP-745Simulation values</v>
      </c>
    </row>
    <row r="228" spans="1:13" x14ac:dyDescent="0.25">
      <c r="A228" t="s">
        <v>23</v>
      </c>
      <c r="B228" s="68" t="s">
        <v>156</v>
      </c>
      <c r="C228" s="92">
        <v>-7</v>
      </c>
      <c r="D228" s="68">
        <v>50</v>
      </c>
      <c r="E228" s="69">
        <v>3.6663604462642101</v>
      </c>
      <c r="F228" s="69">
        <v>1.6360373481343626</v>
      </c>
      <c r="G228" s="69">
        <v>2.2410004578716398</v>
      </c>
      <c r="H228" s="69">
        <v>0.432</v>
      </c>
      <c r="I228" s="69" t="s">
        <v>181</v>
      </c>
      <c r="J228" s="69" t="s">
        <v>38</v>
      </c>
      <c r="K228" s="212" t="s">
        <v>48</v>
      </c>
      <c r="L228" s="186" t="s">
        <v>182</v>
      </c>
      <c r="M228" s="69" t="str">
        <f>CapacityTable[[#This Row],[Model]]&amp;CapacityTable[[#This Row],[Type]]&amp;CapacityTable[[#This Row],[T ext]]&amp;CapacityTable[[#This Row],[T water out]]&amp;CapacityTable[[#This Row],[Results origin]]</f>
        <v>BLW Mono 6.1Best COP-750Simulation values</v>
      </c>
    </row>
    <row r="229" spans="1:13" x14ac:dyDescent="0.25">
      <c r="A229" t="s">
        <v>25</v>
      </c>
      <c r="B229" s="68" t="s">
        <v>156</v>
      </c>
      <c r="C229" s="92">
        <v>-7</v>
      </c>
      <c r="D229" s="68">
        <v>50</v>
      </c>
      <c r="E229" s="69">
        <v>5.9828485181364002</v>
      </c>
      <c r="F229" s="69">
        <v>2.4551106501229953</v>
      </c>
      <c r="G229" s="69">
        <v>2.4368956722323998</v>
      </c>
      <c r="H229" s="69">
        <v>0.74999999999999878</v>
      </c>
      <c r="I229" s="69" t="s">
        <v>181</v>
      </c>
      <c r="J229" s="69" t="s">
        <v>38</v>
      </c>
      <c r="K229" s="212" t="s">
        <v>48</v>
      </c>
      <c r="L229" s="186" t="s">
        <v>182</v>
      </c>
      <c r="M229" s="69" t="str">
        <f>CapacityTable[[#This Row],[Model]]&amp;CapacityTable[[#This Row],[Type]]&amp;CapacityTable[[#This Row],[T ext]]&amp;CapacityTable[[#This Row],[T water out]]&amp;CapacityTable[[#This Row],[Results origin]]</f>
        <v>BLW Mono 9.1Best COP-750Simulation values</v>
      </c>
    </row>
    <row r="230" spans="1:13" x14ac:dyDescent="0.25">
      <c r="A230" t="s">
        <v>23</v>
      </c>
      <c r="B230" s="68" t="s">
        <v>156</v>
      </c>
      <c r="C230" s="92">
        <v>-7</v>
      </c>
      <c r="D230" s="92">
        <v>55</v>
      </c>
      <c r="E230" s="69">
        <v>3.6012093077799801</v>
      </c>
      <c r="F230" s="69">
        <v>1.7494131033649369</v>
      </c>
      <c r="G230" s="69">
        <v>2.05852425642244</v>
      </c>
      <c r="H230" s="69">
        <v>0.432</v>
      </c>
      <c r="I230" s="69" t="s">
        <v>181</v>
      </c>
      <c r="J230" s="69" t="s">
        <v>38</v>
      </c>
      <c r="K230" s="212" t="s">
        <v>48</v>
      </c>
      <c r="L230" s="186" t="s">
        <v>186</v>
      </c>
      <c r="M230" s="69" t="str">
        <f>CapacityTable[[#This Row],[Model]]&amp;CapacityTable[[#This Row],[Type]]&amp;CapacityTable[[#This Row],[T ext]]&amp;CapacityTable[[#This Row],[T water out]]&amp;CapacityTable[[#This Row],[Results origin]]</f>
        <v>BLW Mono 6.1Best COP-755Simulation values</v>
      </c>
    </row>
    <row r="231" spans="1:13" x14ac:dyDescent="0.25">
      <c r="A231" t="s">
        <v>25</v>
      </c>
      <c r="B231" s="68" t="s">
        <v>156</v>
      </c>
      <c r="C231" s="92">
        <v>-7</v>
      </c>
      <c r="D231" s="92">
        <v>55</v>
      </c>
      <c r="E231" s="69">
        <v>6.3314052877694404</v>
      </c>
      <c r="F231" s="69">
        <v>2.8402815979025244</v>
      </c>
      <c r="G231" s="69">
        <v>2.22914702980332</v>
      </c>
      <c r="H231" s="69">
        <v>0.74999999999999878</v>
      </c>
      <c r="I231" s="69" t="s">
        <v>181</v>
      </c>
      <c r="J231" s="69" t="s">
        <v>38</v>
      </c>
      <c r="K231" s="212" t="s">
        <v>48</v>
      </c>
      <c r="L231" s="186" t="s">
        <v>186</v>
      </c>
      <c r="M231" s="69" t="str">
        <f>CapacityTable[[#This Row],[Model]]&amp;CapacityTable[[#This Row],[Type]]&amp;CapacityTable[[#This Row],[T ext]]&amp;CapacityTable[[#This Row],[T water out]]&amp;CapacityTable[[#This Row],[Results origin]]</f>
        <v>BLW Mono 9.1Best COP-755Simulation values</v>
      </c>
    </row>
    <row r="232" spans="1:13" x14ac:dyDescent="0.25">
      <c r="A232" t="s">
        <v>23</v>
      </c>
      <c r="B232" s="68" t="s">
        <v>156</v>
      </c>
      <c r="C232" s="216">
        <v>-7</v>
      </c>
      <c r="D232" s="92">
        <v>55</v>
      </c>
      <c r="E232" s="69">
        <v>2.8</v>
      </c>
      <c r="F232" s="69">
        <v>1.34</v>
      </c>
      <c r="G232" s="69">
        <v>2.09</v>
      </c>
      <c r="H232" s="69">
        <v>0.48</v>
      </c>
      <c r="I232" s="69" t="s">
        <v>181</v>
      </c>
      <c r="J232" s="69" t="s">
        <v>188</v>
      </c>
      <c r="K232" s="212" t="s">
        <v>55</v>
      </c>
      <c r="L232" s="186"/>
      <c r="M232" s="69" t="str">
        <f>CapacityTable[[#This Row],[Model]]&amp;CapacityTable[[#This Row],[Type]]&amp;CapacityTable[[#This Row],[T ext]]&amp;CapacityTable[[#This Row],[T water out]]&amp;CapacityTable[[#This Row],[Results origin]]</f>
        <v>BLW Mono 6.1Best COP-755Test values</v>
      </c>
    </row>
    <row r="233" spans="1:13" x14ac:dyDescent="0.25">
      <c r="A233" t="s">
        <v>25</v>
      </c>
      <c r="B233" s="68" t="s">
        <v>156</v>
      </c>
      <c r="C233" s="68">
        <v>-7</v>
      </c>
      <c r="D233" s="92">
        <v>55</v>
      </c>
      <c r="E233" s="69">
        <v>3.3555999999999999</v>
      </c>
      <c r="F233" s="69">
        <v>1.5119</v>
      </c>
      <c r="G233" s="69">
        <v>2.2189999999999999</v>
      </c>
      <c r="H233" s="69">
        <v>0.75</v>
      </c>
      <c r="I233" s="69" t="s">
        <v>181</v>
      </c>
      <c r="J233" s="69" t="s">
        <v>188</v>
      </c>
      <c r="K233" s="213" t="s">
        <v>56</v>
      </c>
      <c r="L233" s="186"/>
      <c r="M233" s="69" t="str">
        <f>CapacityTable[[#This Row],[Model]]&amp;CapacityTable[[#This Row],[Type]]&amp;CapacityTable[[#This Row],[T ext]]&amp;CapacityTable[[#This Row],[T water out]]&amp;CapacityTable[[#This Row],[Results origin]]</f>
        <v>BLW Mono 9.1Best COP-755Test values</v>
      </c>
    </row>
    <row r="234" spans="1:13" x14ac:dyDescent="0.25">
      <c r="A234" t="s">
        <v>23</v>
      </c>
      <c r="B234" s="68" t="s">
        <v>156</v>
      </c>
      <c r="C234" s="92">
        <v>-7</v>
      </c>
      <c r="D234" s="68">
        <v>60</v>
      </c>
      <c r="E234" s="69">
        <v>4.1193121531488197</v>
      </c>
      <c r="F234" s="69">
        <v>2.177482475287305</v>
      </c>
      <c r="G234" s="69">
        <v>1.8917774080387499</v>
      </c>
      <c r="H234" s="69">
        <v>0.432</v>
      </c>
      <c r="I234" s="69" t="s">
        <v>181</v>
      </c>
      <c r="J234" s="69" t="s">
        <v>38</v>
      </c>
      <c r="K234" s="212" t="s">
        <v>48</v>
      </c>
      <c r="L234" s="186" t="s">
        <v>182</v>
      </c>
      <c r="M234" s="69" t="str">
        <f>CapacityTable[[#This Row],[Model]]&amp;CapacityTable[[#This Row],[Type]]&amp;CapacityTable[[#This Row],[T ext]]&amp;CapacityTable[[#This Row],[T water out]]&amp;CapacityTable[[#This Row],[Results origin]]</f>
        <v>BLW Mono 6.1Best COP-760Simulation values</v>
      </c>
    </row>
    <row r="235" spans="1:13" x14ac:dyDescent="0.25">
      <c r="A235" t="s">
        <v>25</v>
      </c>
      <c r="B235" s="68" t="s">
        <v>156</v>
      </c>
      <c r="C235" s="92">
        <v>-7</v>
      </c>
      <c r="D235" s="68">
        <v>60</v>
      </c>
      <c r="E235" s="69">
        <v>6.2297340687422906</v>
      </c>
      <c r="F235" s="69">
        <v>3.0453722780931582</v>
      </c>
      <c r="G235" s="69">
        <v>2.0456395802758802</v>
      </c>
      <c r="H235" s="69">
        <v>0.74999999999999878</v>
      </c>
      <c r="I235" s="69" t="s">
        <v>181</v>
      </c>
      <c r="J235" s="69" t="s">
        <v>38</v>
      </c>
      <c r="K235" s="212" t="s">
        <v>48</v>
      </c>
      <c r="L235" s="186" t="s">
        <v>182</v>
      </c>
      <c r="M235" s="69" t="str">
        <f>CapacityTable[[#This Row],[Model]]&amp;CapacityTable[[#This Row],[Type]]&amp;CapacityTable[[#This Row],[T ext]]&amp;CapacityTable[[#This Row],[T water out]]&amp;CapacityTable[[#This Row],[Results origin]]</f>
        <v>BLW Mono 9.1Best COP-760Simulation values</v>
      </c>
    </row>
    <row r="236" spans="1:13" x14ac:dyDescent="0.25">
      <c r="A236" t="s">
        <v>23</v>
      </c>
      <c r="B236" s="68" t="s">
        <v>156</v>
      </c>
      <c r="C236" s="92">
        <v>-7</v>
      </c>
      <c r="D236" s="92">
        <v>65</v>
      </c>
      <c r="E236" s="69">
        <v>4.0362986626431798</v>
      </c>
      <c r="F236" s="69">
        <v>2.3212522822354145</v>
      </c>
      <c r="G236" s="69">
        <v>1.7388453179057901</v>
      </c>
      <c r="H236" s="69">
        <v>0.432</v>
      </c>
      <c r="I236" s="69" t="s">
        <v>181</v>
      </c>
      <c r="J236" s="69" t="s">
        <v>38</v>
      </c>
      <c r="K236" s="212" t="s">
        <v>48</v>
      </c>
      <c r="L236" s="186" t="s">
        <v>182</v>
      </c>
      <c r="M236" s="69" t="str">
        <f>CapacityTable[[#This Row],[Model]]&amp;CapacityTable[[#This Row],[Type]]&amp;CapacityTable[[#This Row],[T ext]]&amp;CapacityTable[[#This Row],[T water out]]&amp;CapacityTable[[#This Row],[Results origin]]</f>
        <v>BLW Mono 6.1Best COP-765Simulation values</v>
      </c>
    </row>
    <row r="237" spans="1:13" x14ac:dyDescent="0.25">
      <c r="A237" t="s">
        <v>25</v>
      </c>
      <c r="B237" s="68" t="s">
        <v>156</v>
      </c>
      <c r="C237" s="92">
        <v>-7</v>
      </c>
      <c r="D237" s="92">
        <v>65</v>
      </c>
      <c r="E237" s="69">
        <v>6.1311646782816798</v>
      </c>
      <c r="F237" s="69">
        <v>3.2599951622945205</v>
      </c>
      <c r="G237" s="69">
        <v>1.88072815235907</v>
      </c>
      <c r="H237" s="69">
        <v>0.74999999999999878</v>
      </c>
      <c r="I237" s="69" t="s">
        <v>181</v>
      </c>
      <c r="J237" s="69" t="s">
        <v>38</v>
      </c>
      <c r="K237" s="212" t="s">
        <v>48</v>
      </c>
      <c r="L237" s="186" t="s">
        <v>182</v>
      </c>
      <c r="M237" s="69" t="str">
        <f>CapacityTable[[#This Row],[Model]]&amp;CapacityTable[[#This Row],[Type]]&amp;CapacityTable[[#This Row],[T ext]]&amp;CapacityTable[[#This Row],[T water out]]&amp;CapacityTable[[#This Row],[Results origin]]</f>
        <v>BLW Mono 9.1Best COP-765Simulation values</v>
      </c>
    </row>
    <row r="238" spans="1:13" x14ac:dyDescent="0.25">
      <c r="A238" t="s">
        <v>23</v>
      </c>
      <c r="B238" s="68" t="s">
        <v>156</v>
      </c>
      <c r="C238" s="92">
        <v>-7</v>
      </c>
      <c r="D238" s="68">
        <v>70</v>
      </c>
      <c r="E238" s="69">
        <v>3.9507170467332697</v>
      </c>
      <c r="F238" s="69">
        <v>2.4765175889606548</v>
      </c>
      <c r="G238" s="69">
        <v>1.59527114378029</v>
      </c>
      <c r="H238" s="69">
        <v>0.432</v>
      </c>
      <c r="I238" s="69" t="s">
        <v>181</v>
      </c>
      <c r="J238" s="69" t="s">
        <v>38</v>
      </c>
      <c r="K238" s="212" t="s">
        <v>48</v>
      </c>
      <c r="L238" s="186" t="s">
        <v>182</v>
      </c>
      <c r="M238" s="69" t="str">
        <f>CapacityTable[[#This Row],[Model]]&amp;CapacityTable[[#This Row],[Type]]&amp;CapacityTable[[#This Row],[T ext]]&amp;CapacityTable[[#This Row],[T water out]]&amp;CapacityTable[[#This Row],[Results origin]]</f>
        <v>BLW Mono 6.1Best COP-770Simulation values</v>
      </c>
    </row>
    <row r="239" spans="1:13" x14ac:dyDescent="0.25">
      <c r="A239" t="s">
        <v>25</v>
      </c>
      <c r="B239" s="68" t="s">
        <v>156</v>
      </c>
      <c r="C239" s="92">
        <v>-7</v>
      </c>
      <c r="D239" s="68">
        <v>70</v>
      </c>
      <c r="E239" s="69">
        <v>6.4580114119595802</v>
      </c>
      <c r="F239" s="69">
        <v>3.7234708101828229</v>
      </c>
      <c r="G239" s="69">
        <v>1.73440634858703</v>
      </c>
      <c r="H239" s="69">
        <v>0.74999999999999878</v>
      </c>
      <c r="I239" s="69" t="s">
        <v>181</v>
      </c>
      <c r="J239" s="69" t="s">
        <v>38</v>
      </c>
      <c r="K239" s="212" t="s">
        <v>48</v>
      </c>
      <c r="L239" s="186" t="s">
        <v>182</v>
      </c>
      <c r="M239" s="69" t="str">
        <f>CapacityTable[[#This Row],[Model]]&amp;CapacityTable[[#This Row],[Type]]&amp;CapacityTable[[#This Row],[T ext]]&amp;CapacityTable[[#This Row],[T water out]]&amp;CapacityTable[[#This Row],[Results origin]]</f>
        <v>BLW Mono 9.1Best COP-770Simulation values</v>
      </c>
    </row>
    <row r="240" spans="1:13" x14ac:dyDescent="0.25">
      <c r="A240" t="s">
        <v>23</v>
      </c>
      <c r="B240" s="68" t="s">
        <v>156</v>
      </c>
      <c r="C240" s="92">
        <v>2</v>
      </c>
      <c r="D240" s="68">
        <v>25</v>
      </c>
      <c r="E240" s="69">
        <v>4.1204163228132602</v>
      </c>
      <c r="F240" s="69">
        <v>0.84209657699684903</v>
      </c>
      <c r="G240" s="69">
        <v>4.8930448541992799</v>
      </c>
      <c r="H240" s="69">
        <v>0.71404773348359885</v>
      </c>
      <c r="I240" s="69" t="s">
        <v>181</v>
      </c>
      <c r="J240" s="69" t="s">
        <v>38</v>
      </c>
      <c r="K240" s="212" t="s">
        <v>48</v>
      </c>
      <c r="L240" s="186" t="s">
        <v>182</v>
      </c>
      <c r="M240" s="69" t="str">
        <f>CapacityTable[[#This Row],[Model]]&amp;CapacityTable[[#This Row],[Type]]&amp;CapacityTable[[#This Row],[T ext]]&amp;CapacityTable[[#This Row],[T water out]]&amp;CapacityTable[[#This Row],[Results origin]]</f>
        <v>BLW Mono 6.1Best COP225Simulation values</v>
      </c>
    </row>
    <row r="241" spans="1:13" x14ac:dyDescent="0.25">
      <c r="A241" t="s">
        <v>25</v>
      </c>
      <c r="B241" s="68" t="s">
        <v>156</v>
      </c>
      <c r="C241" s="92">
        <v>2</v>
      </c>
      <c r="D241" s="68">
        <v>25</v>
      </c>
      <c r="E241" s="69">
        <v>4.5732924518680198</v>
      </c>
      <c r="F241" s="69">
        <v>0.89500158955579945</v>
      </c>
      <c r="G241" s="69">
        <v>5.10981489333198</v>
      </c>
      <c r="H241" s="69">
        <v>0.79284598489059832</v>
      </c>
      <c r="I241" s="69" t="s">
        <v>181</v>
      </c>
      <c r="J241" s="69" t="s">
        <v>38</v>
      </c>
      <c r="K241" s="212" t="s">
        <v>48</v>
      </c>
      <c r="L241" s="186" t="s">
        <v>182</v>
      </c>
      <c r="M241" s="69" t="str">
        <f>CapacityTable[[#This Row],[Model]]&amp;CapacityTable[[#This Row],[Type]]&amp;CapacityTable[[#This Row],[T ext]]&amp;CapacityTable[[#This Row],[T water out]]&amp;CapacityTable[[#This Row],[Results origin]]</f>
        <v>BLW Mono 9.1Best COP225Simulation values</v>
      </c>
    </row>
    <row r="242" spans="1:13" x14ac:dyDescent="0.25">
      <c r="A242" t="s">
        <v>23</v>
      </c>
      <c r="B242" s="68" t="s">
        <v>156</v>
      </c>
      <c r="C242" s="92">
        <v>2</v>
      </c>
      <c r="D242" s="92">
        <v>35</v>
      </c>
      <c r="E242" s="69">
        <v>3.8962378738577801</v>
      </c>
      <c r="F242" s="69">
        <v>1.0360399607159625</v>
      </c>
      <c r="G242" s="69">
        <v>3.7607023103290902</v>
      </c>
      <c r="H242" s="69">
        <v>0.67784107903890489</v>
      </c>
      <c r="I242" s="69" t="s">
        <v>181</v>
      </c>
      <c r="J242" s="69" t="s">
        <v>38</v>
      </c>
      <c r="K242" s="212" t="s">
        <v>48</v>
      </c>
      <c r="L242" s="186" t="s">
        <v>182</v>
      </c>
      <c r="M242" s="69" t="str">
        <f>CapacityTable[[#This Row],[Model]]&amp;CapacityTable[[#This Row],[Type]]&amp;CapacityTable[[#This Row],[T ext]]&amp;CapacityTable[[#This Row],[T water out]]&amp;CapacityTable[[#This Row],[Results origin]]</f>
        <v>BLW Mono 6.1Best COP235Simulation values</v>
      </c>
    </row>
    <row r="243" spans="1:13" x14ac:dyDescent="0.25">
      <c r="A243" t="s">
        <v>23</v>
      </c>
      <c r="B243" s="68" t="s">
        <v>166</v>
      </c>
      <c r="C243" s="92">
        <v>-7</v>
      </c>
      <c r="D243" s="68">
        <v>25</v>
      </c>
      <c r="E243" s="69">
        <v>1.6650971769799101</v>
      </c>
      <c r="F243" s="69">
        <v>0.48861600768750563</v>
      </c>
      <c r="G243" s="69">
        <v>3.4077826980339601</v>
      </c>
      <c r="H243" s="69">
        <v>0.432</v>
      </c>
      <c r="I243" s="69" t="s">
        <v>181</v>
      </c>
      <c r="J243" s="69" t="s">
        <v>38</v>
      </c>
      <c r="K243" s="212" t="s">
        <v>48</v>
      </c>
      <c r="L243" s="186"/>
      <c r="M243" s="69" t="str">
        <f>CapacityTable[[#This Row],[Model]]&amp;CapacityTable[[#This Row],[Type]]&amp;CapacityTable[[#This Row],[T ext]]&amp;CapacityTable[[#This Row],[T water out]]&amp;CapacityTable[[#This Row],[Results origin]]</f>
        <v>BLW Mono 6.1Min power-725Simulation values</v>
      </c>
    </row>
    <row r="244" spans="1:13" x14ac:dyDescent="0.25">
      <c r="A244" t="s">
        <v>25</v>
      </c>
      <c r="B244" s="68" t="s">
        <v>156</v>
      </c>
      <c r="C244" s="92">
        <v>2</v>
      </c>
      <c r="D244" s="92">
        <v>35</v>
      </c>
      <c r="E244" s="69">
        <v>5.6529849931034297</v>
      </c>
      <c r="F244" s="69">
        <v>1.3963927936652718</v>
      </c>
      <c r="G244" s="69">
        <v>4.0482771171178804</v>
      </c>
      <c r="H244" s="69">
        <v>0.98265242445569634</v>
      </c>
      <c r="I244" s="69" t="s">
        <v>181</v>
      </c>
      <c r="J244" s="69" t="s">
        <v>38</v>
      </c>
      <c r="K244" s="212" t="s">
        <v>48</v>
      </c>
      <c r="L244" s="186" t="s">
        <v>182</v>
      </c>
      <c r="M244" s="69" t="str">
        <f>CapacityTable[[#This Row],[Model]]&amp;CapacityTable[[#This Row],[Type]]&amp;CapacityTable[[#This Row],[T ext]]&amp;CapacityTable[[#This Row],[T water out]]&amp;CapacityTable[[#This Row],[Results origin]]</f>
        <v>BLW Mono 9.1Best COP235Simulation values</v>
      </c>
    </row>
    <row r="245" spans="1:13" x14ac:dyDescent="0.25">
      <c r="A245" t="s">
        <v>23</v>
      </c>
      <c r="B245" s="68" t="s">
        <v>156</v>
      </c>
      <c r="C245" s="216">
        <v>2</v>
      </c>
      <c r="D245" s="92">
        <v>35</v>
      </c>
      <c r="E245" s="69">
        <v>2.98</v>
      </c>
      <c r="F245" s="69">
        <f>CapacityTable[[#This Row],[Capacity
'[kW']]]/CapacityTable[[#This Row],[COP / EER]]</f>
        <v>0.69953051643192488</v>
      </c>
      <c r="G245" s="69">
        <v>4.26</v>
      </c>
      <c r="H245" s="69">
        <v>0.52</v>
      </c>
      <c r="I245" s="69" t="s">
        <v>181</v>
      </c>
      <c r="J245" s="69" t="s">
        <v>188</v>
      </c>
      <c r="K245" s="212" t="s">
        <v>55</v>
      </c>
      <c r="L245" s="186"/>
      <c r="M245" s="69" t="str">
        <f>CapacityTable[[#This Row],[Model]]&amp;CapacityTable[[#This Row],[Type]]&amp;CapacityTable[[#This Row],[T ext]]&amp;CapacityTable[[#This Row],[T water out]]&amp;CapacityTable[[#This Row],[Results origin]]</f>
        <v>BLW Mono 6.1Best COP235Test values</v>
      </c>
    </row>
    <row r="246" spans="1:13" x14ac:dyDescent="0.25">
      <c r="A246" t="s">
        <v>25</v>
      </c>
      <c r="B246" s="68" t="s">
        <v>156</v>
      </c>
      <c r="C246" s="68">
        <v>2</v>
      </c>
      <c r="D246" s="92">
        <v>35</v>
      </c>
      <c r="E246" s="69">
        <v>4.5143000000000004</v>
      </c>
      <c r="F246" s="69">
        <v>1.0481</v>
      </c>
      <c r="G246" s="69">
        <v>4.3070000000000004</v>
      </c>
      <c r="H246" s="69">
        <v>0.78500000000000003</v>
      </c>
      <c r="I246" s="69" t="s">
        <v>181</v>
      </c>
      <c r="J246" s="69" t="s">
        <v>188</v>
      </c>
      <c r="K246" s="213" t="s">
        <v>56</v>
      </c>
      <c r="L246" s="186"/>
      <c r="M246" s="69" t="str">
        <f>CapacityTable[[#This Row],[Model]]&amp;CapacityTable[[#This Row],[Type]]&amp;CapacityTable[[#This Row],[T ext]]&amp;CapacityTable[[#This Row],[T water out]]&amp;CapacityTable[[#This Row],[Results origin]]</f>
        <v>BLW Mono 9.1Best COP235Test values</v>
      </c>
    </row>
    <row r="247" spans="1:13" x14ac:dyDescent="0.25">
      <c r="A247" t="s">
        <v>23</v>
      </c>
      <c r="B247" s="68" t="s">
        <v>156</v>
      </c>
      <c r="C247" s="92">
        <v>2</v>
      </c>
      <c r="D247" s="68">
        <v>40</v>
      </c>
      <c r="E247" s="69">
        <v>3.8129198346197701</v>
      </c>
      <c r="F247" s="69">
        <v>1.1303529474092744</v>
      </c>
      <c r="G247" s="69">
        <v>3.37321174183589</v>
      </c>
      <c r="H247" s="69">
        <v>0.6645956529227437</v>
      </c>
      <c r="I247" s="69" t="s">
        <v>181</v>
      </c>
      <c r="J247" s="69" t="s">
        <v>38</v>
      </c>
      <c r="K247" s="212" t="s">
        <v>48</v>
      </c>
      <c r="L247" s="186" t="s">
        <v>182</v>
      </c>
      <c r="M247" s="69" t="str">
        <f>CapacityTable[[#This Row],[Model]]&amp;CapacityTable[[#This Row],[Type]]&amp;CapacityTable[[#This Row],[T ext]]&amp;CapacityTable[[#This Row],[T water out]]&amp;CapacityTable[[#This Row],[Results origin]]</f>
        <v>BLW Mono 6.1Best COP240Simulation values</v>
      </c>
    </row>
    <row r="248" spans="1:13" x14ac:dyDescent="0.25">
      <c r="A248" t="s">
        <v>25</v>
      </c>
      <c r="B248" s="68" t="s">
        <v>156</v>
      </c>
      <c r="C248" s="92">
        <v>2</v>
      </c>
      <c r="D248" s="68">
        <v>40</v>
      </c>
      <c r="E248" s="69">
        <v>5.5254264754565305</v>
      </c>
      <c r="F248" s="69">
        <v>1.5270875422298507</v>
      </c>
      <c r="G248" s="69">
        <v>3.61827748747679</v>
      </c>
      <c r="H248" s="69">
        <v>0.9622750849222319</v>
      </c>
      <c r="I248" s="69" t="s">
        <v>181</v>
      </c>
      <c r="J248" s="69" t="s">
        <v>38</v>
      </c>
      <c r="K248" s="212" t="s">
        <v>48</v>
      </c>
      <c r="L248" s="186" t="s">
        <v>182</v>
      </c>
      <c r="M248" s="69" t="str">
        <f>CapacityTable[[#This Row],[Model]]&amp;CapacityTable[[#This Row],[Type]]&amp;CapacityTable[[#This Row],[T ext]]&amp;CapacityTable[[#This Row],[T water out]]&amp;CapacityTable[[#This Row],[Results origin]]</f>
        <v>BLW Mono 9.1Best COP240Simulation values</v>
      </c>
    </row>
    <row r="249" spans="1:13" x14ac:dyDescent="0.25">
      <c r="A249" t="s">
        <v>23</v>
      </c>
      <c r="B249" s="68" t="s">
        <v>156</v>
      </c>
      <c r="C249" s="92">
        <v>2</v>
      </c>
      <c r="D249" s="92">
        <v>45</v>
      </c>
      <c r="E249" s="69">
        <v>3.7375202144012603</v>
      </c>
      <c r="F249" s="69">
        <v>1.2262370075777669</v>
      </c>
      <c r="G249" s="69">
        <v>3.04795907422834</v>
      </c>
      <c r="H249" s="69">
        <v>0.65266681322298958</v>
      </c>
      <c r="I249" s="69" t="s">
        <v>181</v>
      </c>
      <c r="J249" s="69" t="s">
        <v>38</v>
      </c>
      <c r="K249" s="212" t="s">
        <v>48</v>
      </c>
      <c r="L249" s="186" t="s">
        <v>189</v>
      </c>
      <c r="M249" s="69" t="str">
        <f>CapacityTable[[#This Row],[Model]]&amp;CapacityTable[[#This Row],[Type]]&amp;CapacityTable[[#This Row],[T ext]]&amp;CapacityTable[[#This Row],[T water out]]&amp;CapacityTable[[#This Row],[Results origin]]</f>
        <v>BLW Mono 6.1Best COP245Simulation values</v>
      </c>
    </row>
    <row r="250" spans="1:13" x14ac:dyDescent="0.25">
      <c r="A250" t="s">
        <v>25</v>
      </c>
      <c r="B250" s="68" t="s">
        <v>156</v>
      </c>
      <c r="C250" s="92">
        <v>2</v>
      </c>
      <c r="D250" s="92">
        <v>45</v>
      </c>
      <c r="E250" s="69">
        <v>6.0127405203443107</v>
      </c>
      <c r="F250" s="69">
        <v>1.8514229939169382</v>
      </c>
      <c r="G250" s="69">
        <v>3.2476319782674499</v>
      </c>
      <c r="H250" s="69">
        <v>1.0485743190179326</v>
      </c>
      <c r="I250" s="69" t="s">
        <v>181</v>
      </c>
      <c r="J250" s="69" t="s">
        <v>38</v>
      </c>
      <c r="K250" s="212" t="s">
        <v>48</v>
      </c>
      <c r="L250" s="186" t="s">
        <v>189</v>
      </c>
      <c r="M250" s="69" t="str">
        <f>CapacityTable[[#This Row],[Model]]&amp;CapacityTable[[#This Row],[Type]]&amp;CapacityTable[[#This Row],[T ext]]&amp;CapacityTable[[#This Row],[T water out]]&amp;CapacityTable[[#This Row],[Results origin]]</f>
        <v>BLW Mono 9.1Best COP245Simulation values</v>
      </c>
    </row>
    <row r="251" spans="1:13" x14ac:dyDescent="0.25">
      <c r="A251" t="s">
        <v>23</v>
      </c>
      <c r="B251" s="68" t="s">
        <v>156</v>
      </c>
      <c r="C251" s="92">
        <v>2</v>
      </c>
      <c r="D251" s="68">
        <v>50</v>
      </c>
      <c r="E251" s="69">
        <v>4.0596209887875103</v>
      </c>
      <c r="F251" s="69">
        <v>1.4451649212809343</v>
      </c>
      <c r="G251" s="69">
        <v>2.8091056799173</v>
      </c>
      <c r="H251" s="69">
        <v>0.44295781636057679</v>
      </c>
      <c r="I251" s="69" t="s">
        <v>181</v>
      </c>
      <c r="J251" s="69" t="s">
        <v>38</v>
      </c>
      <c r="K251" s="212" t="s">
        <v>48</v>
      </c>
      <c r="L251" s="186" t="s">
        <v>182</v>
      </c>
      <c r="M251" s="69" t="str">
        <f>CapacityTable[[#This Row],[Model]]&amp;CapacityTable[[#This Row],[Type]]&amp;CapacityTable[[#This Row],[T ext]]&amp;CapacityTable[[#This Row],[T water out]]&amp;CapacityTable[[#This Row],[Results origin]]</f>
        <v>BLW Mono 6.1Best COP250Simulation values</v>
      </c>
    </row>
    <row r="252" spans="1:13" x14ac:dyDescent="0.25">
      <c r="A252" t="s">
        <v>25</v>
      </c>
      <c r="B252" s="68" t="s">
        <v>156</v>
      </c>
      <c r="C252" s="92">
        <v>2</v>
      </c>
      <c r="D252" s="68">
        <v>50</v>
      </c>
      <c r="E252" s="69">
        <v>6.4755056664383499</v>
      </c>
      <c r="F252" s="69">
        <v>2.1885117400572844</v>
      </c>
      <c r="G252" s="69">
        <v>2.9588626589998799</v>
      </c>
      <c r="H252" s="69">
        <v>0.74999999999999878</v>
      </c>
      <c r="I252" s="69" t="s">
        <v>181</v>
      </c>
      <c r="J252" s="69" t="s">
        <v>38</v>
      </c>
      <c r="K252" s="212" t="s">
        <v>48</v>
      </c>
      <c r="L252" s="186" t="s">
        <v>182</v>
      </c>
      <c r="M252" s="69" t="str">
        <f>CapacityTable[[#This Row],[Model]]&amp;CapacityTable[[#This Row],[Type]]&amp;CapacityTable[[#This Row],[T ext]]&amp;CapacityTable[[#This Row],[T water out]]&amp;CapacityTable[[#This Row],[Results origin]]</f>
        <v>BLW Mono 9.1Best COP250Simulation values</v>
      </c>
    </row>
    <row r="253" spans="1:13" x14ac:dyDescent="0.25">
      <c r="A253" t="s">
        <v>23</v>
      </c>
      <c r="B253" s="68" t="s">
        <v>156</v>
      </c>
      <c r="C253" s="92">
        <v>2</v>
      </c>
      <c r="D253" s="92">
        <v>55</v>
      </c>
      <c r="E253" s="69">
        <v>3.9732273691731299</v>
      </c>
      <c r="F253" s="69">
        <v>1.5574307893011619</v>
      </c>
      <c r="G253" s="69">
        <v>2.5511421736794899</v>
      </c>
      <c r="H253" s="69">
        <v>0.43430644513051203</v>
      </c>
      <c r="I253" s="69" t="s">
        <v>181</v>
      </c>
      <c r="J253" s="69" t="s">
        <v>38</v>
      </c>
      <c r="K253" s="212" t="s">
        <v>48</v>
      </c>
      <c r="L253" s="186" t="s">
        <v>189</v>
      </c>
      <c r="M253" s="69" t="str">
        <f>CapacityTable[[#This Row],[Model]]&amp;CapacityTable[[#This Row],[Type]]&amp;CapacityTable[[#This Row],[T ext]]&amp;CapacityTable[[#This Row],[T water out]]&amp;CapacityTable[[#This Row],[Results origin]]</f>
        <v>BLW Mono 6.1Best COP255Simulation values</v>
      </c>
    </row>
    <row r="254" spans="1:13" x14ac:dyDescent="0.25">
      <c r="A254" t="s">
        <v>25</v>
      </c>
      <c r="B254" s="68" t="s">
        <v>156</v>
      </c>
      <c r="C254" s="92">
        <v>2</v>
      </c>
      <c r="D254" s="92">
        <v>55</v>
      </c>
      <c r="E254" s="69">
        <v>6.3443383400412205</v>
      </c>
      <c r="F254" s="69">
        <v>2.372259018494574</v>
      </c>
      <c r="G254" s="69">
        <v>2.6743868568227902</v>
      </c>
      <c r="H254" s="69">
        <v>0.74999999999999878</v>
      </c>
      <c r="I254" s="69" t="s">
        <v>181</v>
      </c>
      <c r="J254" s="69" t="s">
        <v>38</v>
      </c>
      <c r="K254" s="212" t="s">
        <v>48</v>
      </c>
      <c r="L254" s="186" t="s">
        <v>189</v>
      </c>
      <c r="M254" s="69" t="str">
        <f>CapacityTable[[#This Row],[Model]]&amp;CapacityTable[[#This Row],[Type]]&amp;CapacityTable[[#This Row],[T ext]]&amp;CapacityTable[[#This Row],[T water out]]&amp;CapacityTable[[#This Row],[Results origin]]</f>
        <v>BLW Mono 9.1Best COP255Simulation values</v>
      </c>
    </row>
    <row r="255" spans="1:13" x14ac:dyDescent="0.25">
      <c r="A255" t="s">
        <v>23</v>
      </c>
      <c r="B255" s="68" t="s">
        <v>156</v>
      </c>
      <c r="C255" s="92">
        <v>2</v>
      </c>
      <c r="D255" s="68">
        <v>60</v>
      </c>
      <c r="E255" s="69">
        <v>4.6083975229910106</v>
      </c>
      <c r="F255" s="69">
        <v>1.9866836279959406</v>
      </c>
      <c r="G255" s="69">
        <v>2.3196433785683901</v>
      </c>
      <c r="H255" s="69">
        <v>0.432</v>
      </c>
      <c r="I255" s="69" t="s">
        <v>181</v>
      </c>
      <c r="J255" s="69" t="s">
        <v>38</v>
      </c>
      <c r="K255" s="212" t="s">
        <v>48</v>
      </c>
      <c r="L255" s="186" t="s">
        <v>182</v>
      </c>
      <c r="M255" s="69" t="str">
        <f>CapacityTable[[#This Row],[Model]]&amp;CapacityTable[[#This Row],[Type]]&amp;CapacityTable[[#This Row],[T ext]]&amp;CapacityTable[[#This Row],[T water out]]&amp;CapacityTable[[#This Row],[Results origin]]</f>
        <v>BLW Mono 6.1Best COP260Simulation values</v>
      </c>
    </row>
    <row r="256" spans="1:13" x14ac:dyDescent="0.25">
      <c r="A256" t="s">
        <v>25</v>
      </c>
      <c r="B256" s="68" t="s">
        <v>156</v>
      </c>
      <c r="C256" s="92">
        <v>2</v>
      </c>
      <c r="D256" s="68">
        <v>60</v>
      </c>
      <c r="E256" s="69">
        <v>6.2142213839804601</v>
      </c>
      <c r="F256" s="69">
        <v>2.5661773149931686</v>
      </c>
      <c r="G256" s="69">
        <v>2.4215869058124699</v>
      </c>
      <c r="H256" s="69">
        <v>0.74999999999999878</v>
      </c>
      <c r="I256" s="69" t="s">
        <v>181</v>
      </c>
      <c r="J256" s="69" t="s">
        <v>38</v>
      </c>
      <c r="K256" s="212" t="s">
        <v>48</v>
      </c>
      <c r="L256" s="186" t="s">
        <v>182</v>
      </c>
      <c r="M256" s="69" t="str">
        <f>CapacityTable[[#This Row],[Model]]&amp;CapacityTable[[#This Row],[Type]]&amp;CapacityTable[[#This Row],[T ext]]&amp;CapacityTable[[#This Row],[T water out]]&amp;CapacityTable[[#This Row],[Results origin]]</f>
        <v>BLW Mono 9.1Best COP260Simulation values</v>
      </c>
    </row>
    <row r="257" spans="1:13" x14ac:dyDescent="0.25">
      <c r="A257" t="s">
        <v>23</v>
      </c>
      <c r="B257" s="68" t="s">
        <v>156</v>
      </c>
      <c r="C257" s="92">
        <v>2</v>
      </c>
      <c r="D257" s="92">
        <v>65</v>
      </c>
      <c r="E257" s="69">
        <v>4.8497041772793796</v>
      </c>
      <c r="F257" s="69">
        <v>2.3035595815847016</v>
      </c>
      <c r="G257" s="69">
        <v>2.1053087647696498</v>
      </c>
      <c r="H257" s="69">
        <v>0.432</v>
      </c>
      <c r="I257" s="69" t="s">
        <v>181</v>
      </c>
      <c r="J257" s="69" t="s">
        <v>38</v>
      </c>
      <c r="K257" s="212" t="s">
        <v>48</v>
      </c>
      <c r="L257" s="186" t="s">
        <v>189</v>
      </c>
      <c r="M257" s="69" t="str">
        <f>CapacityTable[[#This Row],[Model]]&amp;CapacityTable[[#This Row],[Type]]&amp;CapacityTable[[#This Row],[T ext]]&amp;CapacityTable[[#This Row],[T water out]]&amp;CapacityTable[[#This Row],[Results origin]]</f>
        <v>BLW Mono 6.1Best COP265Simulation values</v>
      </c>
    </row>
    <row r="258" spans="1:13" x14ac:dyDescent="0.25">
      <c r="A258" t="s">
        <v>25</v>
      </c>
      <c r="B258" s="68" t="s">
        <v>156</v>
      </c>
      <c r="C258" s="92">
        <v>2</v>
      </c>
      <c r="D258" s="92">
        <v>65</v>
      </c>
      <c r="E258" s="69">
        <v>6.6144714526166704</v>
      </c>
      <c r="F258" s="69">
        <v>3.0044158800885929</v>
      </c>
      <c r="G258" s="69">
        <v>2.2015831751034498</v>
      </c>
      <c r="H258" s="69">
        <v>0.74999999999999878</v>
      </c>
      <c r="I258" s="69" t="s">
        <v>181</v>
      </c>
      <c r="J258" s="69" t="s">
        <v>38</v>
      </c>
      <c r="K258" s="212" t="s">
        <v>48</v>
      </c>
      <c r="L258" s="186" t="s">
        <v>189</v>
      </c>
      <c r="M258" s="69" t="str">
        <f>CapacityTable[[#This Row],[Model]]&amp;CapacityTable[[#This Row],[Type]]&amp;CapacityTable[[#This Row],[T ext]]&amp;CapacityTable[[#This Row],[T water out]]&amp;CapacityTable[[#This Row],[Results origin]]</f>
        <v>BLW Mono 9.1Best COP265Simulation values</v>
      </c>
    </row>
    <row r="259" spans="1:13" x14ac:dyDescent="0.25">
      <c r="A259" t="s">
        <v>23</v>
      </c>
      <c r="B259" s="68" t="s">
        <v>156</v>
      </c>
      <c r="C259" s="92">
        <v>2</v>
      </c>
      <c r="D259" s="68">
        <v>70</v>
      </c>
      <c r="E259" s="69">
        <v>4.7180092993324294</v>
      </c>
      <c r="F259" s="69">
        <v>2.4701614952199851</v>
      </c>
      <c r="G259" s="69">
        <v>1.9100003414603699</v>
      </c>
      <c r="H259" s="69">
        <v>0.432</v>
      </c>
      <c r="I259" s="69" t="s">
        <v>181</v>
      </c>
      <c r="J259" s="69" t="s">
        <v>38</v>
      </c>
      <c r="K259" s="212" t="s">
        <v>48</v>
      </c>
      <c r="L259" s="186" t="s">
        <v>182</v>
      </c>
      <c r="M259" s="69" t="str">
        <f>CapacityTable[[#This Row],[Model]]&amp;CapacityTable[[#This Row],[Type]]&amp;CapacityTable[[#This Row],[T ext]]&amp;CapacityTable[[#This Row],[T water out]]&amp;CapacityTable[[#This Row],[Results origin]]</f>
        <v>BLW Mono 6.1Best COP270Simulation values</v>
      </c>
    </row>
    <row r="260" spans="1:13" x14ac:dyDescent="0.25">
      <c r="A260" t="s">
        <v>25</v>
      </c>
      <c r="B260" s="68" t="s">
        <v>156</v>
      </c>
      <c r="C260" s="92">
        <v>2</v>
      </c>
      <c r="D260" s="68">
        <v>70</v>
      </c>
      <c r="E260" s="69">
        <v>6.4841053131355499</v>
      </c>
      <c r="F260" s="69">
        <v>3.2316741246016538</v>
      </c>
      <c r="G260" s="69">
        <v>2.0064230065074402</v>
      </c>
      <c r="H260" s="69">
        <v>0.74999999999999878</v>
      </c>
      <c r="I260" s="69" t="s">
        <v>181</v>
      </c>
      <c r="J260" s="69" t="s">
        <v>38</v>
      </c>
      <c r="K260" s="212" t="s">
        <v>48</v>
      </c>
      <c r="L260" s="186" t="s">
        <v>182</v>
      </c>
      <c r="M260" s="69" t="str">
        <f>CapacityTable[[#This Row],[Model]]&amp;CapacityTable[[#This Row],[Type]]&amp;CapacityTable[[#This Row],[T ext]]&amp;CapacityTable[[#This Row],[T water out]]&amp;CapacityTable[[#This Row],[Results origin]]</f>
        <v>BLW Mono 9.1Best COP270Simulation values</v>
      </c>
    </row>
    <row r="261" spans="1:13" x14ac:dyDescent="0.25">
      <c r="A261" t="s">
        <v>23</v>
      </c>
      <c r="B261" s="68" t="s">
        <v>156</v>
      </c>
      <c r="C261" s="92">
        <v>7</v>
      </c>
      <c r="D261" s="68">
        <v>25</v>
      </c>
      <c r="E261" s="69">
        <v>3.7742123982772302</v>
      </c>
      <c r="F261" s="69">
        <v>0.62751894852440859</v>
      </c>
      <c r="G261" s="69">
        <v>6.0144994938434504</v>
      </c>
      <c r="H261" s="69">
        <v>0.65435548294842116</v>
      </c>
      <c r="I261" s="69" t="s">
        <v>181</v>
      </c>
      <c r="J261" s="69" t="s">
        <v>38</v>
      </c>
      <c r="K261" s="212" t="s">
        <v>48</v>
      </c>
      <c r="L261" s="186" t="s">
        <v>182</v>
      </c>
      <c r="M261" s="69" t="str">
        <f>CapacityTable[[#This Row],[Model]]&amp;CapacityTable[[#This Row],[Type]]&amp;CapacityTable[[#This Row],[T ext]]&amp;CapacityTable[[#This Row],[T water out]]&amp;CapacityTable[[#This Row],[Results origin]]</f>
        <v>BLW Mono 6.1Best COP725Simulation values</v>
      </c>
    </row>
    <row r="262" spans="1:13" x14ac:dyDescent="0.25">
      <c r="A262" t="s">
        <v>25</v>
      </c>
      <c r="B262" s="68" t="s">
        <v>156</v>
      </c>
      <c r="C262" s="92">
        <v>7</v>
      </c>
      <c r="D262" s="68">
        <v>25</v>
      </c>
      <c r="E262" s="69">
        <v>3.12336655379774</v>
      </c>
      <c r="F262" s="69">
        <v>0.50462222116348976</v>
      </c>
      <c r="G262" s="69">
        <v>6.1895144977886698</v>
      </c>
      <c r="H262" s="69">
        <v>0.74999999999999878</v>
      </c>
      <c r="I262" s="69" t="s">
        <v>181</v>
      </c>
      <c r="J262" s="69" t="s">
        <v>38</v>
      </c>
      <c r="K262" s="212" t="s">
        <v>48</v>
      </c>
      <c r="L262" s="186" t="s">
        <v>182</v>
      </c>
      <c r="M262" s="69" t="str">
        <f>CapacityTable[[#This Row],[Model]]&amp;CapacityTable[[#This Row],[Type]]&amp;CapacityTable[[#This Row],[T ext]]&amp;CapacityTable[[#This Row],[T water out]]&amp;CapacityTable[[#This Row],[Results origin]]</f>
        <v>BLW Mono 9.1Best COP725Simulation values</v>
      </c>
    </row>
    <row r="263" spans="1:13" x14ac:dyDescent="0.25">
      <c r="A263" t="s">
        <v>23</v>
      </c>
      <c r="B263" s="68" t="s">
        <v>156</v>
      </c>
      <c r="C263" s="92">
        <v>7</v>
      </c>
      <c r="D263" s="92">
        <v>35</v>
      </c>
      <c r="E263" s="69">
        <v>4.0479888043663399</v>
      </c>
      <c r="F263" s="69">
        <v>0.90585487564151257</v>
      </c>
      <c r="G263" s="69">
        <v>4.4686946145756696</v>
      </c>
      <c r="H263" s="69">
        <v>0.70409596150513809</v>
      </c>
      <c r="I263" s="69" t="s">
        <v>181</v>
      </c>
      <c r="J263" s="69" t="s">
        <v>38</v>
      </c>
      <c r="K263" s="212" t="s">
        <v>48</v>
      </c>
      <c r="L263" s="186" t="s">
        <v>182</v>
      </c>
      <c r="M263" s="69" t="str">
        <f>CapacityTable[[#This Row],[Model]]&amp;CapacityTable[[#This Row],[Type]]&amp;CapacityTable[[#This Row],[T ext]]&amp;CapacityTable[[#This Row],[T water out]]&amp;CapacityTable[[#This Row],[Results origin]]</f>
        <v>BLW Mono 6.1Best COP735Simulation values</v>
      </c>
    </row>
    <row r="264" spans="1:13" x14ac:dyDescent="0.25">
      <c r="A264" t="s">
        <v>23</v>
      </c>
      <c r="B264" s="68" t="s">
        <v>166</v>
      </c>
      <c r="C264" s="92">
        <v>-7</v>
      </c>
      <c r="D264" s="68">
        <v>35</v>
      </c>
      <c r="E264" s="69">
        <v>1.5602695549155601</v>
      </c>
      <c r="F264" s="69">
        <v>0.60528013561686234</v>
      </c>
      <c r="G264" s="69">
        <v>2.5777643492718201</v>
      </c>
      <c r="H264" s="69">
        <v>0.432</v>
      </c>
      <c r="I264" s="69" t="s">
        <v>181</v>
      </c>
      <c r="J264" s="69" t="s">
        <v>38</v>
      </c>
      <c r="K264" s="212" t="s">
        <v>48</v>
      </c>
      <c r="L264" s="69"/>
      <c r="M264" s="69" t="str">
        <f>CapacityTable[[#This Row],[Model]]&amp;CapacityTable[[#This Row],[Type]]&amp;CapacityTable[[#This Row],[T ext]]&amp;CapacityTable[[#This Row],[T water out]]&amp;CapacityTable[[#This Row],[Results origin]]</f>
        <v>BLW Mono 6.1Min power-735Simulation values</v>
      </c>
    </row>
    <row r="265" spans="1:13" x14ac:dyDescent="0.25">
      <c r="A265" t="s">
        <v>23</v>
      </c>
      <c r="B265" s="68" t="s">
        <v>166</v>
      </c>
      <c r="C265" s="92">
        <v>-7</v>
      </c>
      <c r="D265" s="68">
        <v>40</v>
      </c>
      <c r="E265" s="69">
        <v>1.53577986375519</v>
      </c>
      <c r="F265" s="69">
        <v>0.65992079632563549</v>
      </c>
      <c r="G265" s="69">
        <v>2.3272184666800002</v>
      </c>
      <c r="H265" s="69">
        <v>0.432</v>
      </c>
      <c r="I265" s="69" t="s">
        <v>181</v>
      </c>
      <c r="J265" s="69" t="s">
        <v>38</v>
      </c>
      <c r="K265" s="212" t="s">
        <v>48</v>
      </c>
      <c r="L265" s="186"/>
      <c r="M265" s="69" t="str">
        <f>CapacityTable[[#This Row],[Model]]&amp;CapacityTable[[#This Row],[Type]]&amp;CapacityTable[[#This Row],[T ext]]&amp;CapacityTable[[#This Row],[T water out]]&amp;CapacityTable[[#This Row],[Results origin]]</f>
        <v>BLW Mono 6.1Min power-740Simulation values</v>
      </c>
    </row>
    <row r="266" spans="1:13" x14ac:dyDescent="0.25">
      <c r="A266" t="s">
        <v>23</v>
      </c>
      <c r="B266" s="68" t="s">
        <v>166</v>
      </c>
      <c r="C266" s="92">
        <v>-7</v>
      </c>
      <c r="D266" s="68">
        <v>45</v>
      </c>
      <c r="E266" s="69">
        <v>1.5214135439674001</v>
      </c>
      <c r="F266" s="69">
        <v>0.71575563329918912</v>
      </c>
      <c r="G266" s="69">
        <v>2.12560470806863</v>
      </c>
      <c r="H266" s="69">
        <v>0.432</v>
      </c>
      <c r="I266" s="69" t="s">
        <v>181</v>
      </c>
      <c r="J266" s="69" t="s">
        <v>38</v>
      </c>
      <c r="K266" s="212" t="s">
        <v>48</v>
      </c>
      <c r="L266" s="69"/>
      <c r="M266" s="69" t="str">
        <f>CapacityTable[[#This Row],[Model]]&amp;CapacityTable[[#This Row],[Type]]&amp;CapacityTable[[#This Row],[T ext]]&amp;CapacityTable[[#This Row],[T water out]]&amp;CapacityTable[[#This Row],[Results origin]]</f>
        <v>BLW Mono 6.1Min power-745Simulation values</v>
      </c>
    </row>
    <row r="267" spans="1:13" x14ac:dyDescent="0.25">
      <c r="A267" t="s">
        <v>23</v>
      </c>
      <c r="B267" s="68" t="s">
        <v>165</v>
      </c>
      <c r="C267" s="92">
        <v>20</v>
      </c>
      <c r="D267" s="92">
        <v>45</v>
      </c>
      <c r="E267" s="69">
        <v>7.1718031897157939</v>
      </c>
      <c r="F267" s="69">
        <v>1.5909140318484825</v>
      </c>
      <c r="G267" s="69">
        <v>4.4270885324033111</v>
      </c>
      <c r="H267" s="69">
        <v>1.2505831026194323</v>
      </c>
      <c r="I267" s="69" t="s">
        <v>181</v>
      </c>
      <c r="J267" s="69" t="s">
        <v>38</v>
      </c>
      <c r="K267" s="213" t="s">
        <v>183</v>
      </c>
      <c r="L267" s="69"/>
      <c r="M267" s="69" t="str">
        <f>CapacityTable[[#This Row],[Model]]&amp;CapacityTable[[#This Row],[Type]]&amp;CapacityTable[[#This Row],[T ext]]&amp;CapacityTable[[#This Row],[T water out]]&amp;CapacityTable[[#This Row],[Results origin]]</f>
        <v>BLW Mono 6.1Max power2045Simulation values</v>
      </c>
    </row>
    <row r="268" spans="1:13" x14ac:dyDescent="0.25">
      <c r="A268" t="s">
        <v>23</v>
      </c>
      <c r="B268" s="68" t="s">
        <v>165</v>
      </c>
      <c r="C268" s="92">
        <v>20</v>
      </c>
      <c r="D268" s="68">
        <v>50</v>
      </c>
      <c r="E268" s="69">
        <v>7.1806088893682114</v>
      </c>
      <c r="F268" s="69">
        <v>1.7428401929817163</v>
      </c>
      <c r="G268" s="69">
        <v>4.0773951706707763</v>
      </c>
      <c r="H268" s="69">
        <v>0.78215757612816161</v>
      </c>
      <c r="I268" s="69" t="s">
        <v>181</v>
      </c>
      <c r="J268" s="69" t="s">
        <v>38</v>
      </c>
      <c r="K268" s="212" t="s">
        <v>48</v>
      </c>
      <c r="L268" s="186" t="s">
        <v>182</v>
      </c>
      <c r="M268" s="69" t="str">
        <f>CapacityTable[[#This Row],[Model]]&amp;CapacityTable[[#This Row],[Type]]&amp;CapacityTable[[#This Row],[T ext]]&amp;CapacityTable[[#This Row],[T water out]]&amp;CapacityTable[[#This Row],[Results origin]]</f>
        <v>BLW Mono 6.1Max power2050Simulation values</v>
      </c>
    </row>
    <row r="269" spans="1:13" x14ac:dyDescent="0.25">
      <c r="A269" t="s">
        <v>25</v>
      </c>
      <c r="B269" s="68" t="s">
        <v>165</v>
      </c>
      <c r="C269" s="92">
        <v>-7</v>
      </c>
      <c r="D269" s="68">
        <v>25</v>
      </c>
      <c r="E269" s="69">
        <v>8.6143677401496692</v>
      </c>
      <c r="F269" s="69">
        <v>2.6184155585681888</v>
      </c>
      <c r="G269" s="69">
        <v>3.2899161907135199</v>
      </c>
      <c r="H269" s="69">
        <v>1.4881712605208783</v>
      </c>
      <c r="I269" s="69" t="s">
        <v>181</v>
      </c>
      <c r="J269" s="69" t="s">
        <v>38</v>
      </c>
      <c r="K269" s="212" t="s">
        <v>48</v>
      </c>
      <c r="L269" s="186" t="s">
        <v>182</v>
      </c>
      <c r="M269" s="69" t="str">
        <f>CapacityTable[[#This Row],[Model]]&amp;CapacityTable[[#This Row],[Type]]&amp;CapacityTable[[#This Row],[T ext]]&amp;CapacityTable[[#This Row],[T water out]]&amp;CapacityTable[[#This Row],[Results origin]]</f>
        <v>BLW Mono 9.1Max power-725Simulation values</v>
      </c>
    </row>
    <row r="270" spans="1:13" x14ac:dyDescent="0.25">
      <c r="A270" t="s">
        <v>23</v>
      </c>
      <c r="B270" s="68" t="s">
        <v>166</v>
      </c>
      <c r="C270" s="92">
        <v>-7</v>
      </c>
      <c r="D270" s="68">
        <v>50</v>
      </c>
      <c r="E270" s="69">
        <v>1.5122565331493099</v>
      </c>
      <c r="F270" s="69">
        <v>0.7755181881211417</v>
      </c>
      <c r="G270" s="69">
        <v>1.9499949276664601</v>
      </c>
      <c r="H270" s="69">
        <v>0.432</v>
      </c>
      <c r="I270" s="69" t="s">
        <v>181</v>
      </c>
      <c r="J270" s="69" t="s">
        <v>38</v>
      </c>
      <c r="K270" s="212" t="s">
        <v>48</v>
      </c>
      <c r="L270" s="186"/>
      <c r="M270" s="69" t="str">
        <f>CapacityTable[[#This Row],[Model]]&amp;CapacityTable[[#This Row],[Type]]&amp;CapacityTable[[#This Row],[T ext]]&amp;CapacityTable[[#This Row],[T water out]]&amp;CapacityTable[[#This Row],[Results origin]]</f>
        <v>BLW Mono 6.1Min power-750Simulation values</v>
      </c>
    </row>
    <row r="271" spans="1:13" x14ac:dyDescent="0.25">
      <c r="A271" t="s">
        <v>23</v>
      </c>
      <c r="B271" s="68" t="s">
        <v>166</v>
      </c>
      <c r="C271" s="92">
        <v>-7</v>
      </c>
      <c r="D271" s="68">
        <v>55</v>
      </c>
      <c r="E271" s="69">
        <v>1.5047779309781499</v>
      </c>
      <c r="F271" s="69">
        <v>0.84188218985618124</v>
      </c>
      <c r="G271" s="69">
        <v>1.7873972737625099</v>
      </c>
      <c r="H271" s="69">
        <v>0.432</v>
      </c>
      <c r="I271" s="69" t="s">
        <v>181</v>
      </c>
      <c r="J271" s="69" t="s">
        <v>38</v>
      </c>
      <c r="K271" s="212" t="s">
        <v>48</v>
      </c>
      <c r="L271" s="69"/>
      <c r="M271" s="69" t="str">
        <f>CapacityTable[[#This Row],[Model]]&amp;CapacityTable[[#This Row],[Type]]&amp;CapacityTable[[#This Row],[T ext]]&amp;CapacityTable[[#This Row],[T water out]]&amp;CapacityTable[[#This Row],[Results origin]]</f>
        <v>BLW Mono 6.1Min power-755Simulation values</v>
      </c>
    </row>
    <row r="272" spans="1:13" x14ac:dyDescent="0.25">
      <c r="A272" t="s">
        <v>23</v>
      </c>
      <c r="B272" s="68" t="s">
        <v>166</v>
      </c>
      <c r="C272" s="92">
        <v>-7</v>
      </c>
      <c r="D272" s="68">
        <v>60</v>
      </c>
      <c r="E272" s="69">
        <v>1.4969087876879801</v>
      </c>
      <c r="F272" s="69">
        <v>0.9173317873578124</v>
      </c>
      <c r="G272" s="69">
        <v>1.6318073878149599</v>
      </c>
      <c r="H272" s="69">
        <v>0.432</v>
      </c>
      <c r="I272" s="69" t="s">
        <v>181</v>
      </c>
      <c r="J272" s="69" t="s">
        <v>38</v>
      </c>
      <c r="K272" s="212" t="s">
        <v>48</v>
      </c>
      <c r="L272" s="186"/>
      <c r="M272" s="69" t="str">
        <f>CapacityTable[[#This Row],[Model]]&amp;CapacityTable[[#This Row],[Type]]&amp;CapacityTable[[#This Row],[T ext]]&amp;CapacityTable[[#This Row],[T water out]]&amp;CapacityTable[[#This Row],[Results origin]]</f>
        <v>BLW Mono 6.1Min power-760Simulation values</v>
      </c>
    </row>
    <row r="273" spans="1:13" x14ac:dyDescent="0.25">
      <c r="A273" t="s">
        <v>23</v>
      </c>
      <c r="B273" s="68" t="s">
        <v>166</v>
      </c>
      <c r="C273" s="92">
        <v>-7</v>
      </c>
      <c r="D273" s="68">
        <v>65</v>
      </c>
      <c r="E273" s="69">
        <v>1.6794245014407501</v>
      </c>
      <c r="F273" s="69">
        <v>1.0984024938595831</v>
      </c>
      <c r="G273" s="69">
        <v>1.52897003678457</v>
      </c>
      <c r="H273" s="69">
        <v>0.432</v>
      </c>
      <c r="I273" s="69" t="s">
        <v>181</v>
      </c>
      <c r="J273" s="69" t="s">
        <v>38</v>
      </c>
      <c r="K273" s="212" t="s">
        <v>48</v>
      </c>
      <c r="L273" s="69"/>
      <c r="M273" s="69" t="str">
        <f>CapacityTable[[#This Row],[Model]]&amp;CapacityTable[[#This Row],[Type]]&amp;CapacityTable[[#This Row],[T ext]]&amp;CapacityTable[[#This Row],[T water out]]&amp;CapacityTable[[#This Row],[Results origin]]</f>
        <v>BLW Mono 6.1Min power-765Simulation values</v>
      </c>
    </row>
    <row r="274" spans="1:13" x14ac:dyDescent="0.25">
      <c r="A274" t="s">
        <v>23</v>
      </c>
      <c r="B274" s="68" t="s">
        <v>166</v>
      </c>
      <c r="C274" s="92">
        <v>-7</v>
      </c>
      <c r="D274" s="68">
        <v>70</v>
      </c>
      <c r="E274" s="69">
        <v>1.8004289332054499</v>
      </c>
      <c r="F274" s="69">
        <v>1.2843637657269964</v>
      </c>
      <c r="G274" s="69">
        <v>1.4018060780361099</v>
      </c>
      <c r="H274" s="69">
        <v>0.432</v>
      </c>
      <c r="I274" s="69" t="s">
        <v>181</v>
      </c>
      <c r="J274" s="69" t="s">
        <v>38</v>
      </c>
      <c r="K274" s="212" t="s">
        <v>48</v>
      </c>
      <c r="L274" s="186"/>
      <c r="M274" s="69" t="str">
        <f>CapacityTable[[#This Row],[Model]]&amp;CapacityTable[[#This Row],[Type]]&amp;CapacityTable[[#This Row],[T ext]]&amp;CapacityTable[[#This Row],[T water out]]&amp;CapacityTable[[#This Row],[Results origin]]</f>
        <v>BLW Mono 6.1Min power-770Simulation values</v>
      </c>
    </row>
    <row r="275" spans="1:13" x14ac:dyDescent="0.25">
      <c r="A275" t="s">
        <v>23</v>
      </c>
      <c r="B275" s="68" t="s">
        <v>166</v>
      </c>
      <c r="C275" s="92">
        <v>2</v>
      </c>
      <c r="D275" s="68">
        <v>25</v>
      </c>
      <c r="E275" s="69">
        <v>1.6553527679954301</v>
      </c>
      <c r="F275" s="69">
        <v>0.39448197520744371</v>
      </c>
      <c r="G275" s="69">
        <v>4.1962697208787301</v>
      </c>
      <c r="H275" s="69">
        <v>0.432</v>
      </c>
      <c r="I275" s="69" t="s">
        <v>181</v>
      </c>
      <c r="J275" s="69" t="s">
        <v>38</v>
      </c>
      <c r="K275" s="212" t="s">
        <v>48</v>
      </c>
      <c r="L275" s="186"/>
      <c r="M275" s="69" t="str">
        <f>CapacityTable[[#This Row],[Model]]&amp;CapacityTable[[#This Row],[Type]]&amp;CapacityTable[[#This Row],[T ext]]&amp;CapacityTable[[#This Row],[T water out]]&amp;CapacityTable[[#This Row],[Results origin]]</f>
        <v>BLW Mono 6.1Min power225Simulation values</v>
      </c>
    </row>
    <row r="276" spans="1:13" x14ac:dyDescent="0.25">
      <c r="A276" t="s">
        <v>23</v>
      </c>
      <c r="B276" s="68" t="s">
        <v>166</v>
      </c>
      <c r="C276" s="92">
        <v>2</v>
      </c>
      <c r="D276" s="68">
        <v>35</v>
      </c>
      <c r="E276" s="69">
        <v>1.5568396275471099</v>
      </c>
      <c r="F276" s="69">
        <v>0.50396463204368325</v>
      </c>
      <c r="G276" s="69">
        <v>3.0891842969888499</v>
      </c>
      <c r="H276" s="69">
        <v>0.432</v>
      </c>
      <c r="I276" s="69" t="s">
        <v>181</v>
      </c>
      <c r="J276" s="69" t="s">
        <v>38</v>
      </c>
      <c r="K276" s="212" t="s">
        <v>48</v>
      </c>
      <c r="L276" s="69"/>
      <c r="M276" s="69" t="str">
        <f>CapacityTable[[#This Row],[Model]]&amp;CapacityTable[[#This Row],[Type]]&amp;CapacityTable[[#This Row],[T ext]]&amp;CapacityTable[[#This Row],[T water out]]&amp;CapacityTable[[#This Row],[Results origin]]</f>
        <v>BLW Mono 6.1Min power235Simulation values</v>
      </c>
    </row>
    <row r="277" spans="1:13" x14ac:dyDescent="0.25">
      <c r="A277" t="s">
        <v>23</v>
      </c>
      <c r="B277" s="68" t="s">
        <v>166</v>
      </c>
      <c r="C277" s="92">
        <v>2</v>
      </c>
      <c r="D277" s="68">
        <v>40</v>
      </c>
      <c r="E277" s="69">
        <v>1.5338176721532299</v>
      </c>
      <c r="F277" s="69">
        <v>0.55495890866083675</v>
      </c>
      <c r="G277" s="69">
        <v>2.7638400757534698</v>
      </c>
      <c r="H277" s="69">
        <v>0.432</v>
      </c>
      <c r="I277" s="69" t="s">
        <v>181</v>
      </c>
      <c r="J277" s="69" t="s">
        <v>38</v>
      </c>
      <c r="K277" s="212" t="s">
        <v>48</v>
      </c>
      <c r="L277" s="186"/>
      <c r="M277" s="69" t="str">
        <f>CapacityTable[[#This Row],[Model]]&amp;CapacityTable[[#This Row],[Type]]&amp;CapacityTable[[#This Row],[T ext]]&amp;CapacityTable[[#This Row],[T water out]]&amp;CapacityTable[[#This Row],[Results origin]]</f>
        <v>BLW Mono 6.1Min power240Simulation values</v>
      </c>
    </row>
    <row r="278" spans="1:13" x14ac:dyDescent="0.25">
      <c r="A278" t="s">
        <v>23</v>
      </c>
      <c r="B278" s="68" t="s">
        <v>166</v>
      </c>
      <c r="C278" s="92">
        <v>2</v>
      </c>
      <c r="D278" s="68">
        <v>45</v>
      </c>
      <c r="E278" s="69">
        <v>1.5213262126009499</v>
      </c>
      <c r="F278" s="69">
        <v>0.60727861841357722</v>
      </c>
      <c r="G278" s="69">
        <v>2.5051535925555601</v>
      </c>
      <c r="H278" s="69">
        <v>0.432</v>
      </c>
      <c r="I278" s="69" t="s">
        <v>181</v>
      </c>
      <c r="J278" s="69" t="s">
        <v>38</v>
      </c>
      <c r="K278" s="212" t="s">
        <v>48</v>
      </c>
      <c r="L278" s="69"/>
      <c r="M278" s="69" t="str">
        <f>CapacityTable[[#This Row],[Model]]&amp;CapacityTable[[#This Row],[Type]]&amp;CapacityTable[[#This Row],[T ext]]&amp;CapacityTable[[#This Row],[T water out]]&amp;CapacityTable[[#This Row],[Results origin]]</f>
        <v>BLW Mono 6.1Min power245Simulation values</v>
      </c>
    </row>
    <row r="279" spans="1:13" x14ac:dyDescent="0.25">
      <c r="A279" t="s">
        <v>23</v>
      </c>
      <c r="B279" s="68" t="s">
        <v>166</v>
      </c>
      <c r="C279" s="92">
        <v>2</v>
      </c>
      <c r="D279" s="68">
        <v>50</v>
      </c>
      <c r="E279" s="69">
        <v>1.5152818471168601</v>
      </c>
      <c r="F279" s="69">
        <v>0.66380779961563152</v>
      </c>
      <c r="G279" s="69">
        <v>2.2827117246803401</v>
      </c>
      <c r="H279" s="69">
        <v>0.432</v>
      </c>
      <c r="I279" s="69" t="s">
        <v>181</v>
      </c>
      <c r="J279" s="69" t="s">
        <v>38</v>
      </c>
      <c r="K279" s="212" t="s">
        <v>48</v>
      </c>
      <c r="L279" s="186"/>
      <c r="M279" s="69" t="str">
        <f>CapacityTable[[#This Row],[Model]]&amp;CapacityTable[[#This Row],[Type]]&amp;CapacityTable[[#This Row],[T ext]]&amp;CapacityTable[[#This Row],[T water out]]&amp;CapacityTable[[#This Row],[Results origin]]</f>
        <v>BLW Mono 6.1Min power250Simulation values</v>
      </c>
    </row>
    <row r="280" spans="1:13" x14ac:dyDescent="0.25">
      <c r="A280" t="s">
        <v>23</v>
      </c>
      <c r="B280" s="68" t="s">
        <v>166</v>
      </c>
      <c r="C280" s="92">
        <v>2</v>
      </c>
      <c r="D280" s="68">
        <v>55</v>
      </c>
      <c r="E280" s="69">
        <v>1.51260840509883</v>
      </c>
      <c r="F280" s="69">
        <v>0.72735950624137002</v>
      </c>
      <c r="G280" s="69">
        <v>2.0795884182709501</v>
      </c>
      <c r="H280" s="69">
        <v>0.432</v>
      </c>
      <c r="I280" s="69" t="s">
        <v>181</v>
      </c>
      <c r="J280" s="69" t="s">
        <v>38</v>
      </c>
      <c r="K280" s="212" t="s">
        <v>48</v>
      </c>
      <c r="L280" s="69"/>
      <c r="M280" s="69" t="str">
        <f>CapacityTable[[#This Row],[Model]]&amp;CapacityTable[[#This Row],[Type]]&amp;CapacityTable[[#This Row],[T ext]]&amp;CapacityTable[[#This Row],[T water out]]&amp;CapacityTable[[#This Row],[Results origin]]</f>
        <v>BLW Mono 6.1Min power255Simulation values</v>
      </c>
    </row>
    <row r="281" spans="1:13" x14ac:dyDescent="0.25">
      <c r="A281" t="s">
        <v>23</v>
      </c>
      <c r="B281" s="68" t="s">
        <v>166</v>
      </c>
      <c r="C281" s="92">
        <v>2</v>
      </c>
      <c r="D281" s="68">
        <v>60</v>
      </c>
      <c r="E281" s="69">
        <v>1.7259856096787101</v>
      </c>
      <c r="F281" s="69">
        <v>0.87575680391783728</v>
      </c>
      <c r="G281" s="69">
        <v>1.97085035703661</v>
      </c>
      <c r="H281" s="69">
        <v>0.432</v>
      </c>
      <c r="I281" s="69" t="s">
        <v>181</v>
      </c>
      <c r="J281" s="69" t="s">
        <v>38</v>
      </c>
      <c r="K281" s="212" t="s">
        <v>48</v>
      </c>
      <c r="L281" s="186"/>
      <c r="M281" s="69" t="str">
        <f>CapacityTable[[#This Row],[Model]]&amp;CapacityTable[[#This Row],[Type]]&amp;CapacityTable[[#This Row],[T ext]]&amp;CapacityTable[[#This Row],[T water out]]&amp;CapacityTable[[#This Row],[Results origin]]</f>
        <v>BLW Mono 6.1Min power260Simulation values</v>
      </c>
    </row>
    <row r="282" spans="1:13" x14ac:dyDescent="0.25">
      <c r="A282" t="s">
        <v>23</v>
      </c>
      <c r="B282" s="68" t="s">
        <v>166</v>
      </c>
      <c r="C282" s="92">
        <v>2</v>
      </c>
      <c r="D282" s="68">
        <v>65</v>
      </c>
      <c r="E282" s="69">
        <v>2.1828162755833098</v>
      </c>
      <c r="F282" s="69">
        <v>1.1481345867276649</v>
      </c>
      <c r="G282" s="69">
        <v>1.9011850185653101</v>
      </c>
      <c r="H282" s="69">
        <v>0.432</v>
      </c>
      <c r="I282" s="69" t="s">
        <v>181</v>
      </c>
      <c r="J282" s="69" t="s">
        <v>38</v>
      </c>
      <c r="K282" s="212" t="s">
        <v>48</v>
      </c>
      <c r="L282" s="69"/>
      <c r="M282" s="69" t="str">
        <f>CapacityTable[[#This Row],[Model]]&amp;CapacityTable[[#This Row],[Type]]&amp;CapacityTable[[#This Row],[T ext]]&amp;CapacityTable[[#This Row],[T water out]]&amp;CapacityTable[[#This Row],[Results origin]]</f>
        <v>BLW Mono 6.1Min power265Simulation values</v>
      </c>
    </row>
    <row r="283" spans="1:13" x14ac:dyDescent="0.25">
      <c r="A283" t="s">
        <v>23</v>
      </c>
      <c r="B283" s="68" t="s">
        <v>166</v>
      </c>
      <c r="C283" s="92">
        <v>2</v>
      </c>
      <c r="D283" s="68">
        <v>70</v>
      </c>
      <c r="E283" s="69">
        <v>2.34371790679447</v>
      </c>
      <c r="F283" s="69">
        <v>1.3514094261452543</v>
      </c>
      <c r="G283" s="69">
        <v>1.7342767198832301</v>
      </c>
      <c r="H283" s="69">
        <v>0.432</v>
      </c>
      <c r="I283" s="69" t="s">
        <v>181</v>
      </c>
      <c r="J283" s="69" t="s">
        <v>38</v>
      </c>
      <c r="K283" s="212" t="s">
        <v>48</v>
      </c>
      <c r="L283" s="186"/>
      <c r="M283" s="69" t="str">
        <f>CapacityTable[[#This Row],[Model]]&amp;CapacityTable[[#This Row],[Type]]&amp;CapacityTable[[#This Row],[T ext]]&amp;CapacityTable[[#This Row],[T water out]]&amp;CapacityTable[[#This Row],[Results origin]]</f>
        <v>BLW Mono 6.1Min power270Simulation values</v>
      </c>
    </row>
    <row r="284" spans="1:13" x14ac:dyDescent="0.25">
      <c r="A284" t="s">
        <v>23</v>
      </c>
      <c r="B284" s="68" t="s">
        <v>166</v>
      </c>
      <c r="C284" s="92">
        <v>7</v>
      </c>
      <c r="D284" s="68">
        <v>25</v>
      </c>
      <c r="E284" s="69">
        <v>1.75835207063911</v>
      </c>
      <c r="F284" s="69">
        <v>0.32183784696036349</v>
      </c>
      <c r="G284" s="69">
        <v>5.4634720162531503</v>
      </c>
      <c r="H284" s="69">
        <v>0.432</v>
      </c>
      <c r="I284" s="69" t="s">
        <v>181</v>
      </c>
      <c r="J284" s="69" t="s">
        <v>38</v>
      </c>
      <c r="K284" s="212" t="s">
        <v>48</v>
      </c>
      <c r="L284" s="186"/>
      <c r="M284" s="69" t="str">
        <f>CapacityTable[[#This Row],[Model]]&amp;CapacityTable[[#This Row],[Type]]&amp;CapacityTable[[#This Row],[T ext]]&amp;CapacityTable[[#This Row],[T water out]]&amp;CapacityTable[[#This Row],[Results origin]]</f>
        <v>BLW Mono 6.1Min power725Simulation values</v>
      </c>
    </row>
    <row r="285" spans="1:13" x14ac:dyDescent="0.25">
      <c r="A285" t="s">
        <v>23</v>
      </c>
      <c r="B285" s="68" t="s">
        <v>166</v>
      </c>
      <c r="C285" s="92">
        <v>7</v>
      </c>
      <c r="D285" s="68">
        <v>35</v>
      </c>
      <c r="E285" s="69">
        <v>1.6514102937063602</v>
      </c>
      <c r="F285" s="69">
        <v>0.42669982787598143</v>
      </c>
      <c r="G285" s="69">
        <v>3.8701920784142798</v>
      </c>
      <c r="H285" s="69">
        <v>0.432</v>
      </c>
      <c r="I285" s="69" t="s">
        <v>181</v>
      </c>
      <c r="J285" s="69" t="s">
        <v>38</v>
      </c>
      <c r="K285" s="212" t="s">
        <v>48</v>
      </c>
      <c r="L285" s="69"/>
      <c r="M285" s="69" t="str">
        <f>CapacityTable[[#This Row],[Model]]&amp;CapacityTable[[#This Row],[Type]]&amp;CapacityTable[[#This Row],[T ext]]&amp;CapacityTable[[#This Row],[T water out]]&amp;CapacityTable[[#This Row],[Results origin]]</f>
        <v>BLW Mono 6.1Min power735Simulation values</v>
      </c>
    </row>
    <row r="286" spans="1:13" x14ac:dyDescent="0.25">
      <c r="A286" t="s">
        <v>23</v>
      </c>
      <c r="B286" s="68" t="s">
        <v>166</v>
      </c>
      <c r="C286" s="92">
        <v>7</v>
      </c>
      <c r="D286" s="68">
        <v>40</v>
      </c>
      <c r="E286" s="69">
        <v>1.6218514850452901</v>
      </c>
      <c r="F286" s="69">
        <v>0.4757450202116108</v>
      </c>
      <c r="G286" s="69">
        <v>3.4090771655873402</v>
      </c>
      <c r="H286" s="69">
        <v>0.432</v>
      </c>
      <c r="I286" s="69" t="s">
        <v>181</v>
      </c>
      <c r="J286" s="69" t="s">
        <v>38</v>
      </c>
      <c r="K286" s="212" t="s">
        <v>48</v>
      </c>
      <c r="L286" s="186"/>
      <c r="M286" s="69" t="str">
        <f>CapacityTable[[#This Row],[Model]]&amp;CapacityTable[[#This Row],[Type]]&amp;CapacityTable[[#This Row],[T ext]]&amp;CapacityTable[[#This Row],[T water out]]&amp;CapacityTable[[#This Row],[Results origin]]</f>
        <v>BLW Mono 6.1Min power740Simulation values</v>
      </c>
    </row>
    <row r="287" spans="1:13" x14ac:dyDescent="0.25">
      <c r="A287" t="s">
        <v>23</v>
      </c>
      <c r="B287" s="68" t="s">
        <v>166</v>
      </c>
      <c r="C287" s="92">
        <v>7</v>
      </c>
      <c r="D287" s="68">
        <v>45</v>
      </c>
      <c r="E287" s="69">
        <v>1.6017153588717199</v>
      </c>
      <c r="F287" s="69">
        <v>0.52608141944403919</v>
      </c>
      <c r="G287" s="69">
        <v>3.04461495820249</v>
      </c>
      <c r="H287" s="69">
        <v>0.432</v>
      </c>
      <c r="I287" s="69" t="s">
        <v>181</v>
      </c>
      <c r="J287" s="69" t="s">
        <v>38</v>
      </c>
      <c r="K287" s="212" t="s">
        <v>48</v>
      </c>
      <c r="L287" s="69"/>
      <c r="M287" s="69" t="str">
        <f>CapacityTable[[#This Row],[Model]]&amp;CapacityTable[[#This Row],[Type]]&amp;CapacityTable[[#This Row],[T ext]]&amp;CapacityTable[[#This Row],[T water out]]&amp;CapacityTable[[#This Row],[Results origin]]</f>
        <v>BLW Mono 6.1Min power745Simulation values</v>
      </c>
    </row>
    <row r="288" spans="1:13" x14ac:dyDescent="0.25">
      <c r="A288" t="s">
        <v>23</v>
      </c>
      <c r="B288" s="68" t="s">
        <v>166</v>
      </c>
      <c r="C288" s="92">
        <v>7</v>
      </c>
      <c r="D288" s="68">
        <v>50</v>
      </c>
      <c r="E288" s="69">
        <v>1.5871407848149699</v>
      </c>
      <c r="F288" s="69">
        <v>0.58037803788302877</v>
      </c>
      <c r="G288" s="69">
        <v>2.7346672017503999</v>
      </c>
      <c r="H288" s="69">
        <v>0.432</v>
      </c>
      <c r="I288" s="69" t="s">
        <v>181</v>
      </c>
      <c r="J288" s="69" t="s">
        <v>38</v>
      </c>
      <c r="K288" s="212" t="s">
        <v>48</v>
      </c>
      <c r="L288" s="186"/>
      <c r="M288" s="69" t="str">
        <f>CapacityTable[[#This Row],[Model]]&amp;CapacityTable[[#This Row],[Type]]&amp;CapacityTable[[#This Row],[T ext]]&amp;CapacityTable[[#This Row],[T water out]]&amp;CapacityTable[[#This Row],[Results origin]]</f>
        <v>BLW Mono 6.1Min power750Simulation values</v>
      </c>
    </row>
    <row r="289" spans="1:13" x14ac:dyDescent="0.25">
      <c r="A289" t="s">
        <v>23</v>
      </c>
      <c r="B289" s="68" t="s">
        <v>166</v>
      </c>
      <c r="C289" s="92">
        <v>7</v>
      </c>
      <c r="D289" s="68">
        <v>55</v>
      </c>
      <c r="E289" s="69">
        <v>1.5752541650435801</v>
      </c>
      <c r="F289" s="69">
        <v>0.64124378370441637</v>
      </c>
      <c r="G289" s="69">
        <v>2.4565605235866101</v>
      </c>
      <c r="H289" s="69">
        <v>0.432</v>
      </c>
      <c r="I289" s="69" t="s">
        <v>181</v>
      </c>
      <c r="J289" s="69" t="s">
        <v>38</v>
      </c>
      <c r="K289" s="212" t="s">
        <v>48</v>
      </c>
      <c r="L289" s="69"/>
      <c r="M289" s="69" t="str">
        <f>CapacityTable[[#This Row],[Model]]&amp;CapacityTable[[#This Row],[Type]]&amp;CapacityTable[[#This Row],[T ext]]&amp;CapacityTable[[#This Row],[T water out]]&amp;CapacityTable[[#This Row],[Results origin]]</f>
        <v>BLW Mono 6.1Min power755Simulation values</v>
      </c>
    </row>
    <row r="290" spans="1:13" x14ac:dyDescent="0.25">
      <c r="A290" t="s">
        <v>23</v>
      </c>
      <c r="B290" s="68" t="s">
        <v>166</v>
      </c>
      <c r="C290" s="92">
        <v>7</v>
      </c>
      <c r="D290" s="68">
        <v>60</v>
      </c>
      <c r="E290" s="69">
        <v>1.9598288319831398</v>
      </c>
      <c r="F290" s="69">
        <v>0.84396639009947538</v>
      </c>
      <c r="G290" s="69">
        <v>2.3221645494107199</v>
      </c>
      <c r="H290" s="69">
        <v>0.432</v>
      </c>
      <c r="I290" s="69" t="s">
        <v>181</v>
      </c>
      <c r="J290" s="69" t="s">
        <v>38</v>
      </c>
      <c r="K290" s="212" t="s">
        <v>48</v>
      </c>
      <c r="L290" s="186"/>
      <c r="M290" s="69" t="str">
        <f>CapacityTable[[#This Row],[Model]]&amp;CapacityTable[[#This Row],[Type]]&amp;CapacityTable[[#This Row],[T ext]]&amp;CapacityTable[[#This Row],[T water out]]&amp;CapacityTable[[#This Row],[Results origin]]</f>
        <v>BLW Mono 6.1Min power760Simulation values</v>
      </c>
    </row>
    <row r="291" spans="1:13" x14ac:dyDescent="0.25">
      <c r="A291" t="s">
        <v>23</v>
      </c>
      <c r="B291" s="68" t="s">
        <v>166</v>
      </c>
      <c r="C291" s="92">
        <v>7</v>
      </c>
      <c r="D291" s="68">
        <v>65</v>
      </c>
      <c r="E291" s="69">
        <v>2.48890387903114</v>
      </c>
      <c r="F291" s="69">
        <v>1.1294957521487015</v>
      </c>
      <c r="G291" s="69">
        <v>2.2035531114626701</v>
      </c>
      <c r="H291" s="69">
        <v>0.432</v>
      </c>
      <c r="I291" s="69" t="s">
        <v>181</v>
      </c>
      <c r="J291" s="69" t="s">
        <v>38</v>
      </c>
      <c r="K291" s="212" t="s">
        <v>48</v>
      </c>
      <c r="L291" s="69"/>
      <c r="M291" s="69" t="str">
        <f>CapacityTable[[#This Row],[Model]]&amp;CapacityTable[[#This Row],[Type]]&amp;CapacityTable[[#This Row],[T ext]]&amp;CapacityTable[[#This Row],[T water out]]&amp;CapacityTable[[#This Row],[Results origin]]</f>
        <v>BLW Mono 6.1Min power765Simulation values</v>
      </c>
    </row>
    <row r="292" spans="1:13" x14ac:dyDescent="0.25">
      <c r="A292" t="s">
        <v>23</v>
      </c>
      <c r="B292" s="68" t="s">
        <v>166</v>
      </c>
      <c r="C292" s="92">
        <v>7</v>
      </c>
      <c r="D292" s="68">
        <v>70</v>
      </c>
      <c r="E292" s="69">
        <v>2.6721840429097701</v>
      </c>
      <c r="F292" s="69">
        <v>1.3420665830986243</v>
      </c>
      <c r="G292" s="69">
        <v>1.99109647506468</v>
      </c>
      <c r="H292" s="69">
        <v>0.432</v>
      </c>
      <c r="I292" s="69" t="s">
        <v>181</v>
      </c>
      <c r="J292" s="69" t="s">
        <v>38</v>
      </c>
      <c r="K292" s="212" t="s">
        <v>48</v>
      </c>
      <c r="L292" s="186"/>
      <c r="M292" s="69" t="str">
        <f>CapacityTable[[#This Row],[Model]]&amp;CapacityTable[[#This Row],[Type]]&amp;CapacityTable[[#This Row],[T ext]]&amp;CapacityTable[[#This Row],[T water out]]&amp;CapacityTable[[#This Row],[Results origin]]</f>
        <v>BLW Mono 6.1Min power770Simulation values</v>
      </c>
    </row>
    <row r="293" spans="1:13" x14ac:dyDescent="0.25">
      <c r="A293" t="s">
        <v>23</v>
      </c>
      <c r="B293" s="68" t="s">
        <v>166</v>
      </c>
      <c r="C293" s="92">
        <v>10</v>
      </c>
      <c r="D293" s="68">
        <v>25</v>
      </c>
      <c r="E293" s="69"/>
      <c r="F293" s="69"/>
      <c r="G293" s="69"/>
      <c r="H293" s="69"/>
      <c r="I293" s="69" t="s">
        <v>181</v>
      </c>
      <c r="J293" s="69" t="s">
        <v>38</v>
      </c>
      <c r="K293" s="212" t="s">
        <v>48</v>
      </c>
      <c r="L293" s="186"/>
      <c r="M293" s="69" t="str">
        <f>CapacityTable[[#This Row],[Model]]&amp;CapacityTable[[#This Row],[Type]]&amp;CapacityTable[[#This Row],[T ext]]&amp;CapacityTable[[#This Row],[T water out]]&amp;CapacityTable[[#This Row],[Results origin]]</f>
        <v>BLW Mono 6.1Min power1025Simulation values</v>
      </c>
    </row>
    <row r="294" spans="1:13" x14ac:dyDescent="0.25">
      <c r="A294" t="s">
        <v>23</v>
      </c>
      <c r="B294" s="68" t="s">
        <v>166</v>
      </c>
      <c r="C294" s="92">
        <v>10</v>
      </c>
      <c r="D294" s="68">
        <v>40</v>
      </c>
      <c r="E294" s="69"/>
      <c r="F294" s="69"/>
      <c r="G294" s="69"/>
      <c r="H294" s="69"/>
      <c r="I294" s="69" t="s">
        <v>181</v>
      </c>
      <c r="J294" s="69" t="s">
        <v>38</v>
      </c>
      <c r="K294" s="212" t="s">
        <v>48</v>
      </c>
      <c r="L294" s="186"/>
      <c r="M294" s="69" t="str">
        <f>CapacityTable[[#This Row],[Model]]&amp;CapacityTable[[#This Row],[Type]]&amp;CapacityTable[[#This Row],[T ext]]&amp;CapacityTable[[#This Row],[T water out]]&amp;CapacityTable[[#This Row],[Results origin]]</f>
        <v>BLW Mono 6.1Min power1040Simulation values</v>
      </c>
    </row>
    <row r="295" spans="1:13" x14ac:dyDescent="0.25">
      <c r="A295" t="s">
        <v>23</v>
      </c>
      <c r="B295" s="68" t="s">
        <v>166</v>
      </c>
      <c r="C295" s="92">
        <v>10</v>
      </c>
      <c r="D295" s="68">
        <v>50</v>
      </c>
      <c r="E295" s="69"/>
      <c r="F295" s="69"/>
      <c r="G295" s="69"/>
      <c r="H295" s="69"/>
      <c r="I295" s="69" t="s">
        <v>181</v>
      </c>
      <c r="J295" s="69" t="s">
        <v>38</v>
      </c>
      <c r="K295" s="212" t="s">
        <v>48</v>
      </c>
      <c r="L295" s="186"/>
      <c r="M295" s="69" t="str">
        <f>CapacityTable[[#This Row],[Model]]&amp;CapacityTable[[#This Row],[Type]]&amp;CapacityTable[[#This Row],[T ext]]&amp;CapacityTable[[#This Row],[T water out]]&amp;CapacityTable[[#This Row],[Results origin]]</f>
        <v>BLW Mono 6.1Min power1050Simulation values</v>
      </c>
    </row>
    <row r="296" spans="1:13" x14ac:dyDescent="0.25">
      <c r="A296" t="s">
        <v>23</v>
      </c>
      <c r="B296" s="68" t="s">
        <v>166</v>
      </c>
      <c r="C296" s="92">
        <v>10</v>
      </c>
      <c r="D296" s="68">
        <v>60</v>
      </c>
      <c r="E296" s="69"/>
      <c r="F296" s="69"/>
      <c r="G296" s="69"/>
      <c r="H296" s="69"/>
      <c r="I296" s="69" t="s">
        <v>181</v>
      </c>
      <c r="J296" s="69" t="s">
        <v>38</v>
      </c>
      <c r="K296" s="212" t="s">
        <v>48</v>
      </c>
      <c r="L296" s="186"/>
      <c r="M296" s="69" t="str">
        <f>CapacityTable[[#This Row],[Model]]&amp;CapacityTable[[#This Row],[Type]]&amp;CapacityTable[[#This Row],[T ext]]&amp;CapacityTable[[#This Row],[T water out]]&amp;CapacityTable[[#This Row],[Results origin]]</f>
        <v>BLW Mono 6.1Min power1060Simulation values</v>
      </c>
    </row>
    <row r="297" spans="1:13" x14ac:dyDescent="0.25">
      <c r="A297" t="s">
        <v>23</v>
      </c>
      <c r="B297" s="68" t="s">
        <v>166</v>
      </c>
      <c r="C297" s="92">
        <v>10</v>
      </c>
      <c r="D297" s="68">
        <v>65</v>
      </c>
      <c r="E297" s="69"/>
      <c r="F297" s="69"/>
      <c r="G297" s="69"/>
      <c r="H297" s="69"/>
      <c r="I297" s="69" t="s">
        <v>181</v>
      </c>
      <c r="J297" s="69" t="s">
        <v>38</v>
      </c>
      <c r="K297" s="212" t="s">
        <v>48</v>
      </c>
      <c r="L297" s="69"/>
      <c r="M297" s="69" t="str">
        <f>CapacityTable[[#This Row],[Model]]&amp;CapacityTable[[#This Row],[Type]]&amp;CapacityTable[[#This Row],[T ext]]&amp;CapacityTable[[#This Row],[T water out]]&amp;CapacityTable[[#This Row],[Results origin]]</f>
        <v>BLW Mono 6.1Min power1065Simulation values</v>
      </c>
    </row>
    <row r="298" spans="1:13" x14ac:dyDescent="0.25">
      <c r="A298" t="s">
        <v>23</v>
      </c>
      <c r="B298" s="68" t="s">
        <v>166</v>
      </c>
      <c r="C298" s="92">
        <v>10</v>
      </c>
      <c r="D298" s="68">
        <v>70</v>
      </c>
      <c r="E298" s="69"/>
      <c r="F298" s="69"/>
      <c r="G298" s="69"/>
      <c r="H298" s="69"/>
      <c r="I298" s="69" t="s">
        <v>181</v>
      </c>
      <c r="J298" s="69" t="s">
        <v>38</v>
      </c>
      <c r="K298" s="212" t="s">
        <v>48</v>
      </c>
      <c r="L298" s="186"/>
      <c r="M298" s="69" t="str">
        <f>CapacityTable[[#This Row],[Model]]&amp;CapacityTable[[#This Row],[Type]]&amp;CapacityTable[[#This Row],[T ext]]&amp;CapacityTable[[#This Row],[T water out]]&amp;CapacityTable[[#This Row],[Results origin]]</f>
        <v>BLW Mono 6.1Min power1070Simulation values</v>
      </c>
    </row>
    <row r="299" spans="1:13" x14ac:dyDescent="0.25">
      <c r="A299" t="s">
        <v>23</v>
      </c>
      <c r="B299" s="68" t="s">
        <v>166</v>
      </c>
      <c r="C299" s="92">
        <v>12</v>
      </c>
      <c r="D299" s="68">
        <v>25</v>
      </c>
      <c r="E299" s="69">
        <v>2.0480845655905502</v>
      </c>
      <c r="F299" s="69">
        <v>0.27948729824766683</v>
      </c>
      <c r="G299" s="69">
        <v>7.3280058823125698</v>
      </c>
      <c r="H299" s="69">
        <v>0.432</v>
      </c>
      <c r="I299" s="69" t="s">
        <v>181</v>
      </c>
      <c r="J299" s="69" t="s">
        <v>38</v>
      </c>
      <c r="K299" s="212" t="s">
        <v>48</v>
      </c>
      <c r="L299" s="186"/>
      <c r="M299" s="69" t="str">
        <f>CapacityTable[[#This Row],[Model]]&amp;CapacityTable[[#This Row],[Type]]&amp;CapacityTable[[#This Row],[T ext]]&amp;CapacityTable[[#This Row],[T water out]]&amp;CapacityTable[[#This Row],[Results origin]]</f>
        <v>BLW Mono 6.1Min power1225Simulation values</v>
      </c>
    </row>
    <row r="300" spans="1:13" x14ac:dyDescent="0.25">
      <c r="A300" t="s">
        <v>23</v>
      </c>
      <c r="B300" s="68" t="s">
        <v>166</v>
      </c>
      <c r="C300" s="92">
        <v>12</v>
      </c>
      <c r="D300" s="68">
        <v>35</v>
      </c>
      <c r="E300" s="69">
        <v>1.91590008949529</v>
      </c>
      <c r="F300" s="69">
        <v>0.38791669692210062</v>
      </c>
      <c r="G300" s="69">
        <v>4.9389472139169897</v>
      </c>
      <c r="H300" s="69">
        <v>0.432</v>
      </c>
      <c r="I300" s="69" t="s">
        <v>181</v>
      </c>
      <c r="J300" s="69" t="s">
        <v>38</v>
      </c>
      <c r="K300" s="212" t="s">
        <v>48</v>
      </c>
      <c r="L300" s="69"/>
      <c r="M300" s="69" t="str">
        <f>CapacityTable[[#This Row],[Model]]&amp;CapacityTable[[#This Row],[Type]]&amp;CapacityTable[[#This Row],[T ext]]&amp;CapacityTable[[#This Row],[T water out]]&amp;CapacityTable[[#This Row],[Results origin]]</f>
        <v>BLW Mono 6.1Min power1235Simulation values</v>
      </c>
    </row>
    <row r="301" spans="1:13" x14ac:dyDescent="0.25">
      <c r="A301" t="s">
        <v>23</v>
      </c>
      <c r="B301" s="68" t="s">
        <v>166</v>
      </c>
      <c r="C301" s="92">
        <v>12</v>
      </c>
      <c r="D301" s="68">
        <v>40</v>
      </c>
      <c r="E301" s="69">
        <v>1.87377703416277</v>
      </c>
      <c r="F301" s="69">
        <v>0.43875038519382137</v>
      </c>
      <c r="G301" s="69">
        <v>4.27071313757369</v>
      </c>
      <c r="H301" s="69">
        <v>0.432</v>
      </c>
      <c r="I301" s="69" t="s">
        <v>181</v>
      </c>
      <c r="J301" s="69" t="s">
        <v>38</v>
      </c>
      <c r="K301" s="212" t="s">
        <v>48</v>
      </c>
      <c r="L301" s="186"/>
      <c r="M301" s="69" t="str">
        <f>CapacityTable[[#This Row],[Model]]&amp;CapacityTable[[#This Row],[Type]]&amp;CapacityTable[[#This Row],[T ext]]&amp;CapacityTable[[#This Row],[T water out]]&amp;CapacityTable[[#This Row],[Results origin]]</f>
        <v>BLW Mono 6.1Min power1240Simulation values</v>
      </c>
    </row>
    <row r="302" spans="1:13" x14ac:dyDescent="0.25">
      <c r="A302" t="s">
        <v>23</v>
      </c>
      <c r="B302" s="68" t="s">
        <v>166</v>
      </c>
      <c r="C302" s="92">
        <v>12</v>
      </c>
      <c r="D302" s="68">
        <v>45</v>
      </c>
      <c r="E302" s="69">
        <v>1.8410117991922701</v>
      </c>
      <c r="F302" s="69">
        <v>0.49091245681836049</v>
      </c>
      <c r="G302" s="69">
        <v>3.7501835075117098</v>
      </c>
      <c r="H302" s="69">
        <v>0.432</v>
      </c>
      <c r="I302" s="69" t="s">
        <v>181</v>
      </c>
      <c r="J302" s="69" t="s">
        <v>38</v>
      </c>
      <c r="K302" s="212" t="s">
        <v>48</v>
      </c>
      <c r="L302" s="69"/>
      <c r="M302" s="69" t="str">
        <f>CapacityTable[[#This Row],[Model]]&amp;CapacityTable[[#This Row],[Type]]&amp;CapacityTable[[#This Row],[T ext]]&amp;CapacityTable[[#This Row],[T water out]]&amp;CapacityTable[[#This Row],[Results origin]]</f>
        <v>BLW Mono 6.1Min power1245Simulation values</v>
      </c>
    </row>
    <row r="303" spans="1:13" x14ac:dyDescent="0.25">
      <c r="A303" t="s">
        <v>23</v>
      </c>
      <c r="B303" s="68" t="s">
        <v>166</v>
      </c>
      <c r="C303" s="92">
        <v>12</v>
      </c>
      <c r="D303" s="68">
        <v>50</v>
      </c>
      <c r="E303" s="69">
        <v>1.8137056967834901</v>
      </c>
      <c r="F303" s="69">
        <v>0.54706646370549961</v>
      </c>
      <c r="G303" s="69">
        <v>3.3153297032659199</v>
      </c>
      <c r="H303" s="69">
        <v>0.432</v>
      </c>
      <c r="I303" s="69" t="s">
        <v>181</v>
      </c>
      <c r="J303" s="69" t="s">
        <v>38</v>
      </c>
      <c r="K303" s="212" t="s">
        <v>48</v>
      </c>
      <c r="L303" s="186"/>
      <c r="M303" s="69" t="str">
        <f>CapacityTable[[#This Row],[Model]]&amp;CapacityTable[[#This Row],[Type]]&amp;CapacityTable[[#This Row],[T ext]]&amp;CapacityTable[[#This Row],[T water out]]&amp;CapacityTable[[#This Row],[Results origin]]</f>
        <v>BLW Mono 6.1Min power1250Simulation values</v>
      </c>
    </row>
    <row r="304" spans="1:13" x14ac:dyDescent="0.25">
      <c r="A304" t="s">
        <v>23</v>
      </c>
      <c r="B304" s="68" t="s">
        <v>166</v>
      </c>
      <c r="C304" s="92">
        <v>12</v>
      </c>
      <c r="D304" s="68">
        <v>55</v>
      </c>
      <c r="E304" s="69">
        <v>1.9521034499167198</v>
      </c>
      <c r="F304" s="69">
        <v>0.65795087640588024</v>
      </c>
      <c r="G304" s="69">
        <v>2.9669440681958998</v>
      </c>
      <c r="H304" s="69">
        <v>0.432</v>
      </c>
      <c r="I304" s="69" t="s">
        <v>181</v>
      </c>
      <c r="J304" s="69" t="s">
        <v>38</v>
      </c>
      <c r="K304" s="212" t="s">
        <v>48</v>
      </c>
      <c r="L304" s="69"/>
      <c r="M304" s="69" t="str">
        <f>CapacityTable[[#This Row],[Model]]&amp;CapacityTable[[#This Row],[Type]]&amp;CapacityTable[[#This Row],[T ext]]&amp;CapacityTable[[#This Row],[T water out]]&amp;CapacityTable[[#This Row],[Results origin]]</f>
        <v>BLW Mono 6.1Min power1255Simulation values</v>
      </c>
    </row>
    <row r="305" spans="1:13" x14ac:dyDescent="0.25">
      <c r="A305" t="s">
        <v>23</v>
      </c>
      <c r="B305" s="68" t="s">
        <v>166</v>
      </c>
      <c r="C305" s="92">
        <v>12</v>
      </c>
      <c r="D305" s="68">
        <v>60</v>
      </c>
      <c r="E305" s="69">
        <v>2.2192375441160102</v>
      </c>
      <c r="F305" s="69">
        <v>0.81706537372821053</v>
      </c>
      <c r="G305" s="69">
        <v>2.71610768914339</v>
      </c>
      <c r="H305" s="69">
        <v>0.432</v>
      </c>
      <c r="I305" s="69" t="s">
        <v>181</v>
      </c>
      <c r="J305" s="69" t="s">
        <v>38</v>
      </c>
      <c r="K305" s="212" t="s">
        <v>48</v>
      </c>
      <c r="L305" s="186"/>
      <c r="M305" s="69" t="str">
        <f>CapacityTable[[#This Row],[Model]]&amp;CapacityTable[[#This Row],[Type]]&amp;CapacityTable[[#This Row],[T ext]]&amp;CapacityTable[[#This Row],[T water out]]&amp;CapacityTable[[#This Row],[Results origin]]</f>
        <v>BLW Mono 6.1Min power1260Simulation values</v>
      </c>
    </row>
    <row r="306" spans="1:13" x14ac:dyDescent="0.25">
      <c r="A306" t="s">
        <v>23</v>
      </c>
      <c r="B306" s="68" t="s">
        <v>166</v>
      </c>
      <c r="C306" s="92">
        <v>12</v>
      </c>
      <c r="D306" s="68">
        <v>65</v>
      </c>
      <c r="E306" s="69">
        <v>2.8240215215776003</v>
      </c>
      <c r="F306" s="69">
        <v>1.1117691912023644</v>
      </c>
      <c r="G306" s="69">
        <v>2.5401149302612498</v>
      </c>
      <c r="H306" s="69">
        <v>0.432</v>
      </c>
      <c r="I306" s="69" t="s">
        <v>181</v>
      </c>
      <c r="J306" s="69" t="s">
        <v>38</v>
      </c>
      <c r="K306" s="212" t="s">
        <v>48</v>
      </c>
      <c r="L306" s="69"/>
      <c r="M306" s="69" t="str">
        <f>CapacityTable[[#This Row],[Model]]&amp;CapacityTable[[#This Row],[Type]]&amp;CapacityTable[[#This Row],[T ext]]&amp;CapacityTable[[#This Row],[T water out]]&amp;CapacityTable[[#This Row],[Results origin]]</f>
        <v>BLW Mono 6.1Min power1265Simulation values</v>
      </c>
    </row>
    <row r="307" spans="1:13" x14ac:dyDescent="0.25">
      <c r="A307" t="s">
        <v>23</v>
      </c>
      <c r="B307" s="68" t="s">
        <v>166</v>
      </c>
      <c r="C307" s="92">
        <v>12</v>
      </c>
      <c r="D307" s="68">
        <v>70</v>
      </c>
      <c r="E307" s="69">
        <v>3.0291272398021003</v>
      </c>
      <c r="F307" s="69">
        <v>1.3318690841095082</v>
      </c>
      <c r="G307" s="69">
        <v>2.27434308367281</v>
      </c>
      <c r="H307" s="69">
        <v>0.432</v>
      </c>
      <c r="I307" s="69" t="s">
        <v>181</v>
      </c>
      <c r="J307" s="69" t="s">
        <v>38</v>
      </c>
      <c r="K307" s="212" t="s">
        <v>48</v>
      </c>
      <c r="L307" s="186"/>
      <c r="M307" s="69" t="str">
        <f>CapacityTable[[#This Row],[Model]]&amp;CapacityTable[[#This Row],[Type]]&amp;CapacityTable[[#This Row],[T ext]]&amp;CapacityTable[[#This Row],[T water out]]&amp;CapacityTable[[#This Row],[Results origin]]</f>
        <v>BLW Mono 6.1Min power1270Simulation values</v>
      </c>
    </row>
    <row r="308" spans="1:13" x14ac:dyDescent="0.25">
      <c r="A308" t="s">
        <v>23</v>
      </c>
      <c r="B308" s="68" t="s">
        <v>166</v>
      </c>
      <c r="C308" s="92">
        <v>15</v>
      </c>
      <c r="D308" s="68">
        <v>25</v>
      </c>
      <c r="E308" s="69">
        <v>2.2490469930071799</v>
      </c>
      <c r="F308" s="69">
        <v>0.26299914980595041</v>
      </c>
      <c r="G308" s="69">
        <v>8.5515371234720803</v>
      </c>
      <c r="H308" s="69">
        <v>0.432</v>
      </c>
      <c r="I308" s="69" t="s">
        <v>181</v>
      </c>
      <c r="J308" s="69" t="s">
        <v>38</v>
      </c>
      <c r="K308" s="212" t="s">
        <v>48</v>
      </c>
      <c r="L308" s="186"/>
      <c r="M308" s="69" t="str">
        <f>CapacityTable[[#This Row],[Model]]&amp;CapacityTable[[#This Row],[Type]]&amp;CapacityTable[[#This Row],[T ext]]&amp;CapacityTable[[#This Row],[T water out]]&amp;CapacityTable[[#This Row],[Results origin]]</f>
        <v>BLW Mono 6.1Min power1525Simulation values</v>
      </c>
    </row>
    <row r="309" spans="1:13" x14ac:dyDescent="0.25">
      <c r="A309" t="s">
        <v>23</v>
      </c>
      <c r="B309" s="68" t="s">
        <v>166</v>
      </c>
      <c r="C309" s="92">
        <v>15</v>
      </c>
      <c r="D309" s="68">
        <v>35</v>
      </c>
      <c r="E309" s="69">
        <v>2.0972111107687703</v>
      </c>
      <c r="F309" s="69">
        <v>0.3735514418419984</v>
      </c>
      <c r="G309" s="69">
        <v>5.6142498083458898</v>
      </c>
      <c r="H309" s="69">
        <v>0.432</v>
      </c>
      <c r="I309" s="69" t="s">
        <v>181</v>
      </c>
      <c r="J309" s="69" t="s">
        <v>38</v>
      </c>
      <c r="K309" s="212" t="s">
        <v>48</v>
      </c>
      <c r="L309" s="186"/>
      <c r="M309" s="69" t="str">
        <f>CapacityTable[[#This Row],[Model]]&amp;CapacityTable[[#This Row],[Type]]&amp;CapacityTable[[#This Row],[T ext]]&amp;CapacityTable[[#This Row],[T water out]]&amp;CapacityTable[[#This Row],[Results origin]]</f>
        <v>BLW Mono 6.1Min power1535Simulation values</v>
      </c>
    </row>
    <row r="310" spans="1:13" x14ac:dyDescent="0.25">
      <c r="A310" t="s">
        <v>23</v>
      </c>
      <c r="B310" s="68" t="s">
        <v>166</v>
      </c>
      <c r="C310" s="92">
        <v>15</v>
      </c>
      <c r="D310" s="68">
        <v>40</v>
      </c>
      <c r="E310" s="69">
        <v>2.0454269362945499</v>
      </c>
      <c r="F310" s="69">
        <v>0.42545008417710434</v>
      </c>
      <c r="G310" s="69">
        <v>4.8076778272374003</v>
      </c>
      <c r="H310" s="69">
        <v>0.432</v>
      </c>
      <c r="I310" s="69" t="s">
        <v>181</v>
      </c>
      <c r="J310" s="69" t="s">
        <v>38</v>
      </c>
      <c r="K310" s="212" t="s">
        <v>48</v>
      </c>
      <c r="L310" s="186"/>
      <c r="M310" s="69" t="str">
        <f>CapacityTable[[#This Row],[Model]]&amp;CapacityTable[[#This Row],[Type]]&amp;CapacityTable[[#This Row],[T ext]]&amp;CapacityTable[[#This Row],[T water out]]&amp;CapacityTable[[#This Row],[Results origin]]</f>
        <v>BLW Mono 6.1Min power1540Simulation values</v>
      </c>
    </row>
    <row r="311" spans="1:13" x14ac:dyDescent="0.25">
      <c r="A311" t="s">
        <v>23</v>
      </c>
      <c r="B311" s="68" t="s">
        <v>166</v>
      </c>
      <c r="C311" s="92">
        <v>15</v>
      </c>
      <c r="D311" s="68">
        <v>45</v>
      </c>
      <c r="E311" s="69">
        <v>2.0030497027897201</v>
      </c>
      <c r="F311" s="69">
        <v>0.47868533233642258</v>
      </c>
      <c r="G311" s="69">
        <v>4.1844810514936901</v>
      </c>
      <c r="H311" s="69">
        <v>0.432</v>
      </c>
      <c r="I311" s="69" t="s">
        <v>181</v>
      </c>
      <c r="J311" s="69" t="s">
        <v>38</v>
      </c>
      <c r="K311" s="212" t="s">
        <v>48</v>
      </c>
      <c r="L311" s="186"/>
      <c r="M311" s="69" t="str">
        <f>CapacityTable[[#This Row],[Model]]&amp;CapacityTable[[#This Row],[Type]]&amp;CapacityTable[[#This Row],[T ext]]&amp;CapacityTable[[#This Row],[T water out]]&amp;CapacityTable[[#This Row],[Results origin]]</f>
        <v>BLW Mono 6.1Min power1545Simulation values</v>
      </c>
    </row>
    <row r="312" spans="1:13" x14ac:dyDescent="0.25">
      <c r="A312" t="s">
        <v>23</v>
      </c>
      <c r="B312" s="68" t="s">
        <v>166</v>
      </c>
      <c r="C312" s="92">
        <v>15</v>
      </c>
      <c r="D312" s="68">
        <v>50</v>
      </c>
      <c r="E312" s="69">
        <v>1.9661357051900299</v>
      </c>
      <c r="F312" s="69">
        <v>0.53594499445786181</v>
      </c>
      <c r="G312" s="69">
        <v>3.6685401030359199</v>
      </c>
      <c r="H312" s="69">
        <v>0.432</v>
      </c>
      <c r="I312" s="69" t="s">
        <v>181</v>
      </c>
      <c r="J312" s="69" t="s">
        <v>38</v>
      </c>
      <c r="K312" s="212" t="s">
        <v>48</v>
      </c>
      <c r="L312" s="186"/>
      <c r="M312" s="69" t="str">
        <f>CapacityTable[[#This Row],[Model]]&amp;CapacityTable[[#This Row],[Type]]&amp;CapacityTable[[#This Row],[T ext]]&amp;CapacityTable[[#This Row],[T water out]]&amp;CapacityTable[[#This Row],[Results origin]]</f>
        <v>BLW Mono 6.1Min power1550Simulation values</v>
      </c>
    </row>
    <row r="313" spans="1:13" x14ac:dyDescent="0.25">
      <c r="A313" t="s">
        <v>23</v>
      </c>
      <c r="B313" s="68" t="s">
        <v>166</v>
      </c>
      <c r="C313" s="92">
        <v>15</v>
      </c>
      <c r="D313" s="68">
        <v>55</v>
      </c>
      <c r="E313" s="69">
        <v>2.10760296408121</v>
      </c>
      <c r="F313" s="69">
        <v>0.64776587346491854</v>
      </c>
      <c r="G313" s="69">
        <v>3.2536492742471599</v>
      </c>
      <c r="H313" s="69">
        <v>0.432</v>
      </c>
      <c r="I313" s="69" t="s">
        <v>181</v>
      </c>
      <c r="J313" s="69" t="s">
        <v>38</v>
      </c>
      <c r="K313" s="212" t="s">
        <v>48</v>
      </c>
      <c r="L313" s="186"/>
      <c r="M313" s="69" t="str">
        <f>CapacityTable[[#This Row],[Model]]&amp;CapacityTable[[#This Row],[Type]]&amp;CapacityTable[[#This Row],[T ext]]&amp;CapacityTable[[#This Row],[T water out]]&amp;CapacityTable[[#This Row],[Results origin]]</f>
        <v>BLW Mono 6.1Min power1555Simulation values</v>
      </c>
    </row>
    <row r="314" spans="1:13" x14ac:dyDescent="0.25">
      <c r="A314" t="s">
        <v>23</v>
      </c>
      <c r="B314" s="68" t="s">
        <v>166</v>
      </c>
      <c r="C314" s="92">
        <v>15</v>
      </c>
      <c r="D314" s="68">
        <v>60</v>
      </c>
      <c r="E314" s="69">
        <v>2.3904356763107697</v>
      </c>
      <c r="F314" s="69">
        <v>0.80927208510263249</v>
      </c>
      <c r="G314" s="69">
        <v>2.9538096275835501</v>
      </c>
      <c r="H314" s="69">
        <v>0.432</v>
      </c>
      <c r="I314" s="69" t="s">
        <v>181</v>
      </c>
      <c r="J314" s="69" t="s">
        <v>38</v>
      </c>
      <c r="K314" s="212" t="s">
        <v>48</v>
      </c>
      <c r="L314" s="186"/>
      <c r="M314" s="69" t="str">
        <f>CapacityTable[[#This Row],[Model]]&amp;CapacityTable[[#This Row],[Type]]&amp;CapacityTable[[#This Row],[T ext]]&amp;CapacityTable[[#This Row],[T water out]]&amp;CapacityTable[[#This Row],[Results origin]]</f>
        <v>BLW Mono 6.1Min power1560Simulation values</v>
      </c>
    </row>
    <row r="315" spans="1:13" x14ac:dyDescent="0.25">
      <c r="A315" t="s">
        <v>23</v>
      </c>
      <c r="B315" s="68" t="s">
        <v>166</v>
      </c>
      <c r="C315" s="92">
        <v>15</v>
      </c>
      <c r="D315" s="68">
        <v>65</v>
      </c>
      <c r="E315" s="69">
        <v>3.3735245381499199</v>
      </c>
      <c r="F315" s="69">
        <v>1.2058855431859199</v>
      </c>
      <c r="G315" s="69">
        <v>2.7975495329657498</v>
      </c>
      <c r="H315" s="69">
        <v>0.432</v>
      </c>
      <c r="I315" s="69" t="s">
        <v>181</v>
      </c>
      <c r="J315" s="69" t="s">
        <v>38</v>
      </c>
      <c r="K315" s="212" t="s">
        <v>48</v>
      </c>
      <c r="L315" s="186"/>
      <c r="M315" s="69" t="str">
        <f>CapacityTable[[#This Row],[Model]]&amp;CapacityTable[[#This Row],[Type]]&amp;CapacityTable[[#This Row],[T ext]]&amp;CapacityTable[[#This Row],[T water out]]&amp;CapacityTable[[#This Row],[Results origin]]</f>
        <v>BLW Mono 6.1Min power1565Simulation values</v>
      </c>
    </row>
    <row r="316" spans="1:13" x14ac:dyDescent="0.25">
      <c r="A316" t="s">
        <v>23</v>
      </c>
      <c r="B316" s="68" t="s">
        <v>166</v>
      </c>
      <c r="C316" s="92">
        <v>15</v>
      </c>
      <c r="D316" s="68">
        <v>70</v>
      </c>
      <c r="E316" s="69">
        <v>3.25968292855113</v>
      </c>
      <c r="F316" s="69">
        <v>1.3326044017765064</v>
      </c>
      <c r="G316" s="69">
        <v>2.4460994757375998</v>
      </c>
      <c r="H316" s="69">
        <v>0.432</v>
      </c>
      <c r="I316" s="69" t="s">
        <v>181</v>
      </c>
      <c r="J316" s="69" t="s">
        <v>38</v>
      </c>
      <c r="K316" s="212" t="s">
        <v>48</v>
      </c>
      <c r="L316" s="186"/>
      <c r="M316" s="69" t="str">
        <f>CapacityTable[[#This Row],[Model]]&amp;CapacityTable[[#This Row],[Type]]&amp;CapacityTable[[#This Row],[T ext]]&amp;CapacityTable[[#This Row],[T water out]]&amp;CapacityTable[[#This Row],[Results origin]]</f>
        <v>BLW Mono 6.1Min power1570Simulation values</v>
      </c>
    </row>
    <row r="317" spans="1:13" x14ac:dyDescent="0.25">
      <c r="A317" t="s">
        <v>23</v>
      </c>
      <c r="B317" s="68" t="s">
        <v>166</v>
      </c>
      <c r="C317" s="92">
        <v>20</v>
      </c>
      <c r="D317" s="68">
        <v>25</v>
      </c>
      <c r="E317" s="69">
        <v>2.5922108757986897</v>
      </c>
      <c r="F317" s="69">
        <v>0.24784287363972088</v>
      </c>
      <c r="G317" s="69">
        <v>10.4590898165863</v>
      </c>
      <c r="H317" s="69">
        <v>0.45098035396274883</v>
      </c>
      <c r="I317" s="69" t="s">
        <v>181</v>
      </c>
      <c r="J317" s="69" t="s">
        <v>38</v>
      </c>
      <c r="K317" s="212" t="s">
        <v>48</v>
      </c>
      <c r="L317" s="186"/>
      <c r="M317" s="69" t="str">
        <f>CapacityTable[[#This Row],[Model]]&amp;CapacityTable[[#This Row],[Type]]&amp;CapacityTable[[#This Row],[T ext]]&amp;CapacityTable[[#This Row],[T water out]]&amp;CapacityTable[[#This Row],[Results origin]]</f>
        <v>BLW Mono 6.1Min power2025Simulation values</v>
      </c>
    </row>
    <row r="318" spans="1:13" x14ac:dyDescent="0.25">
      <c r="A318" t="s">
        <v>23</v>
      </c>
      <c r="B318" s="68" t="s">
        <v>166</v>
      </c>
      <c r="C318" s="92">
        <v>20</v>
      </c>
      <c r="D318" s="68">
        <v>35</v>
      </c>
      <c r="E318" s="69">
        <v>2.4131695509251401</v>
      </c>
      <c r="F318" s="69">
        <v>0.36102459852455909</v>
      </c>
      <c r="G318" s="69">
        <v>6.6842247336810798</v>
      </c>
      <c r="H318" s="69">
        <v>0.432</v>
      </c>
      <c r="I318" s="69" t="s">
        <v>181</v>
      </c>
      <c r="J318" s="69" t="s">
        <v>38</v>
      </c>
      <c r="K318" s="212" t="s">
        <v>48</v>
      </c>
      <c r="L318" s="69"/>
      <c r="M318" s="69" t="str">
        <f>CapacityTable[[#This Row],[Model]]&amp;CapacityTable[[#This Row],[Type]]&amp;CapacityTable[[#This Row],[T ext]]&amp;CapacityTable[[#This Row],[T water out]]&amp;CapacityTable[[#This Row],[Results origin]]</f>
        <v>BLW Mono 6.1Min power2035Simulation values</v>
      </c>
    </row>
    <row r="319" spans="1:13" x14ac:dyDescent="0.25">
      <c r="A319" t="s">
        <v>23</v>
      </c>
      <c r="B319" s="68" t="s">
        <v>166</v>
      </c>
      <c r="C319" s="92">
        <v>20</v>
      </c>
      <c r="D319" s="68">
        <v>40</v>
      </c>
      <c r="E319" s="69">
        <v>2.3474142723868998</v>
      </c>
      <c r="F319" s="69">
        <v>0.4147313757402728</v>
      </c>
      <c r="G319" s="69">
        <v>5.6600836341279797</v>
      </c>
      <c r="H319" s="69">
        <v>0.432</v>
      </c>
      <c r="I319" s="69" t="s">
        <v>181</v>
      </c>
      <c r="J319" s="69" t="s">
        <v>38</v>
      </c>
      <c r="K319" s="212" t="s">
        <v>48</v>
      </c>
      <c r="L319" s="186"/>
      <c r="M319" s="69" t="str">
        <f>CapacityTable[[#This Row],[Model]]&amp;CapacityTable[[#This Row],[Type]]&amp;CapacityTable[[#This Row],[T ext]]&amp;CapacityTable[[#This Row],[T water out]]&amp;CapacityTable[[#This Row],[Results origin]]</f>
        <v>BLW Mono 6.1Min power2040Simulation values</v>
      </c>
    </row>
    <row r="320" spans="1:13" x14ac:dyDescent="0.25">
      <c r="A320" t="s">
        <v>23</v>
      </c>
      <c r="B320" s="68" t="s">
        <v>166</v>
      </c>
      <c r="C320" s="92">
        <v>20</v>
      </c>
      <c r="D320" s="68">
        <v>45</v>
      </c>
      <c r="E320" s="69">
        <v>2.2973422603657299</v>
      </c>
      <c r="F320" s="69">
        <v>0.47009131627039219</v>
      </c>
      <c r="G320" s="69">
        <v>4.8870127586962697</v>
      </c>
      <c r="H320" s="69">
        <v>0.432</v>
      </c>
      <c r="I320" s="69" t="s">
        <v>181</v>
      </c>
      <c r="J320" s="69" t="s">
        <v>38</v>
      </c>
      <c r="K320" s="212" t="s">
        <v>48</v>
      </c>
      <c r="L320" s="69"/>
      <c r="M320" s="69" t="str">
        <f>CapacityTable[[#This Row],[Model]]&amp;CapacityTable[[#This Row],[Type]]&amp;CapacityTable[[#This Row],[T ext]]&amp;CapacityTable[[#This Row],[T water out]]&amp;CapacityTable[[#This Row],[Results origin]]</f>
        <v>BLW Mono 6.1Min power2045Simulation values</v>
      </c>
    </row>
    <row r="321" spans="1:13" x14ac:dyDescent="0.25">
      <c r="A321" t="s">
        <v>23</v>
      </c>
      <c r="B321" s="68" t="s">
        <v>166</v>
      </c>
      <c r="C321" s="92">
        <v>20</v>
      </c>
      <c r="D321" s="68">
        <v>50</v>
      </c>
      <c r="E321" s="69">
        <v>2.2437283392951999</v>
      </c>
      <c r="F321" s="69">
        <v>0.52911759028129324</v>
      </c>
      <c r="G321" s="69">
        <v>4.2405098233501803</v>
      </c>
      <c r="H321" s="69">
        <v>0.432</v>
      </c>
      <c r="I321" s="69" t="s">
        <v>181</v>
      </c>
      <c r="J321" s="69" t="s">
        <v>38</v>
      </c>
      <c r="K321" s="212" t="s">
        <v>48</v>
      </c>
      <c r="L321" s="186"/>
      <c r="M321" s="69" t="str">
        <f>CapacityTable[[#This Row],[Model]]&amp;CapacityTable[[#This Row],[Type]]&amp;CapacityTable[[#This Row],[T ext]]&amp;CapacityTable[[#This Row],[T water out]]&amp;CapacityTable[[#This Row],[Results origin]]</f>
        <v>BLW Mono 6.1Min power2050Simulation values</v>
      </c>
    </row>
    <row r="322" spans="1:13" x14ac:dyDescent="0.25">
      <c r="A322" t="s">
        <v>25</v>
      </c>
      <c r="B322" s="68" t="s">
        <v>165</v>
      </c>
      <c r="C322" s="92">
        <v>-7</v>
      </c>
      <c r="D322" s="68">
        <v>35</v>
      </c>
      <c r="E322" s="69">
        <v>8.4392364004202705</v>
      </c>
      <c r="F322" s="69">
        <v>2.9675170610852617</v>
      </c>
      <c r="G322" s="69">
        <v>2.8438712319766499</v>
      </c>
      <c r="H322" s="69">
        <v>1.4634512957859118</v>
      </c>
      <c r="I322" s="69" t="s">
        <v>181</v>
      </c>
      <c r="J322" s="69" t="s">
        <v>38</v>
      </c>
      <c r="K322" s="213" t="s">
        <v>183</v>
      </c>
      <c r="L322" s="69"/>
      <c r="M322" s="69" t="str">
        <f>CapacityTable[[#This Row],[Model]]&amp;CapacityTable[[#This Row],[Type]]&amp;CapacityTable[[#This Row],[T ext]]&amp;CapacityTable[[#This Row],[T water out]]&amp;CapacityTable[[#This Row],[Results origin]]</f>
        <v>BLW Mono 9.1Max power-735Simulation values</v>
      </c>
    </row>
    <row r="323" spans="1:13" x14ac:dyDescent="0.25">
      <c r="A323" t="s">
        <v>25</v>
      </c>
      <c r="B323" s="68" t="s">
        <v>165</v>
      </c>
      <c r="C323" s="92">
        <v>-7</v>
      </c>
      <c r="D323" s="68">
        <v>40</v>
      </c>
      <c r="E323" s="69">
        <v>8.34842804738736</v>
      </c>
      <c r="F323" s="69">
        <v>3.1662389507215383</v>
      </c>
      <c r="G323" s="69">
        <v>2.6367018337276402</v>
      </c>
      <c r="H323" s="69">
        <v>1.4503952996082972</v>
      </c>
      <c r="I323" s="69" t="s">
        <v>181</v>
      </c>
      <c r="J323" s="69" t="s">
        <v>38</v>
      </c>
      <c r="K323" s="212" t="s">
        <v>48</v>
      </c>
      <c r="L323" s="186" t="s">
        <v>182</v>
      </c>
      <c r="M323" s="69" t="str">
        <f>CapacityTable[[#This Row],[Model]]&amp;CapacityTable[[#This Row],[Type]]&amp;CapacityTable[[#This Row],[T ext]]&amp;CapacityTable[[#This Row],[T water out]]&amp;CapacityTable[[#This Row],[Results origin]]</f>
        <v>BLW Mono 9.1Max power-740Simulation values</v>
      </c>
    </row>
    <row r="324" spans="1:13" x14ac:dyDescent="0.25">
      <c r="A324" t="s">
        <v>25</v>
      </c>
      <c r="B324" s="68" t="s">
        <v>165</v>
      </c>
      <c r="C324" s="92">
        <v>-7</v>
      </c>
      <c r="D324" s="68">
        <v>45</v>
      </c>
      <c r="E324" s="69">
        <v>8.2564976448090803</v>
      </c>
      <c r="F324" s="69">
        <v>3.3815279557746103</v>
      </c>
      <c r="G324" s="69">
        <v>2.4416470166125701</v>
      </c>
      <c r="H324" s="69">
        <v>1.4370820338613932</v>
      </c>
      <c r="I324" s="69" t="s">
        <v>181</v>
      </c>
      <c r="J324" s="69" t="s">
        <v>38</v>
      </c>
      <c r="K324" s="213" t="s">
        <v>183</v>
      </c>
      <c r="L324" s="69"/>
      <c r="M324" s="69" t="str">
        <f>CapacityTable[[#This Row],[Model]]&amp;CapacityTable[[#This Row],[Type]]&amp;CapacityTable[[#This Row],[T ext]]&amp;CapacityTable[[#This Row],[T water out]]&amp;CapacityTable[[#This Row],[Results origin]]</f>
        <v>BLW Mono 9.1Max power-745Simulation values</v>
      </c>
    </row>
    <row r="325" spans="1:13" x14ac:dyDescent="0.25">
      <c r="A325" t="s">
        <v>25</v>
      </c>
      <c r="B325" s="68" t="s">
        <v>165</v>
      </c>
      <c r="C325" s="92">
        <v>-7</v>
      </c>
      <c r="D325" s="68">
        <v>50</v>
      </c>
      <c r="E325" s="69">
        <v>8.1768680854035694</v>
      </c>
      <c r="F325" s="69">
        <v>3.5498576698979343</v>
      </c>
      <c r="G325" s="69">
        <v>2.3034354742562599</v>
      </c>
      <c r="H325" s="69">
        <v>0.8909289083372004</v>
      </c>
      <c r="I325" s="69" t="s">
        <v>181</v>
      </c>
      <c r="J325" s="69" t="s">
        <v>38</v>
      </c>
      <c r="K325" s="212" t="s">
        <v>48</v>
      </c>
      <c r="L325" s="186" t="s">
        <v>182</v>
      </c>
      <c r="M325" s="69" t="str">
        <f>CapacityTable[[#This Row],[Model]]&amp;CapacityTable[[#This Row],[Type]]&amp;CapacityTable[[#This Row],[T ext]]&amp;CapacityTable[[#This Row],[T water out]]&amp;CapacityTable[[#This Row],[Results origin]]</f>
        <v>BLW Mono 9.1Max power-750Simulation values</v>
      </c>
    </row>
    <row r="326" spans="1:13" x14ac:dyDescent="0.25">
      <c r="A326" t="s">
        <v>25</v>
      </c>
      <c r="B326" s="68" t="s">
        <v>165</v>
      </c>
      <c r="C326" s="92">
        <v>-7</v>
      </c>
      <c r="D326" s="68">
        <v>55</v>
      </c>
      <c r="E326" s="69">
        <v>8.0867677611589492</v>
      </c>
      <c r="F326" s="69">
        <v>3.7912675584049653</v>
      </c>
      <c r="G326" s="69">
        <v>2.1329984329993201</v>
      </c>
      <c r="H326" s="69">
        <v>0.88266233148980044</v>
      </c>
      <c r="I326" s="69" t="s">
        <v>181</v>
      </c>
      <c r="J326" s="69" t="s">
        <v>38</v>
      </c>
      <c r="K326" s="213" t="s">
        <v>183</v>
      </c>
      <c r="L326" s="69"/>
      <c r="M326" s="69" t="str">
        <f>CapacityTable[[#This Row],[Model]]&amp;CapacityTable[[#This Row],[Type]]&amp;CapacityTable[[#This Row],[T ext]]&amp;CapacityTable[[#This Row],[T water out]]&amp;CapacityTable[[#This Row],[Results origin]]</f>
        <v>BLW Mono 9.1Max power-755Simulation values</v>
      </c>
    </row>
    <row r="327" spans="1:13" x14ac:dyDescent="0.25">
      <c r="A327" t="s">
        <v>25</v>
      </c>
      <c r="B327" s="68" t="s">
        <v>165</v>
      </c>
      <c r="C327" s="92">
        <v>-7</v>
      </c>
      <c r="D327" s="68">
        <v>60</v>
      </c>
      <c r="E327" s="69">
        <v>8.0070039076390511</v>
      </c>
      <c r="F327" s="69">
        <v>4.0219574101182838</v>
      </c>
      <c r="G327" s="69">
        <v>1.9908226495624599</v>
      </c>
      <c r="H327" s="69">
        <v>0.74999999999999878</v>
      </c>
      <c r="I327" s="69" t="s">
        <v>181</v>
      </c>
      <c r="J327" s="69" t="s">
        <v>38</v>
      </c>
      <c r="K327" s="212" t="s">
        <v>48</v>
      </c>
      <c r="L327" s="186" t="s">
        <v>182</v>
      </c>
      <c r="M327" s="69" t="str">
        <f>CapacityTable[[#This Row],[Model]]&amp;CapacityTable[[#This Row],[Type]]&amp;CapacityTable[[#This Row],[T ext]]&amp;CapacityTable[[#This Row],[T water out]]&amp;CapacityTable[[#This Row],[Results origin]]</f>
        <v>BLW Mono 9.1Max power-760Simulation values</v>
      </c>
    </row>
    <row r="328" spans="1:13" x14ac:dyDescent="0.25">
      <c r="A328" t="s">
        <v>25</v>
      </c>
      <c r="B328" s="68" t="s">
        <v>165</v>
      </c>
      <c r="C328" s="92">
        <v>-7</v>
      </c>
      <c r="D328" s="92">
        <v>65</v>
      </c>
      <c r="E328" s="69">
        <v>7.91442400962422</v>
      </c>
      <c r="F328" s="69">
        <v>4.2908437056252735</v>
      </c>
      <c r="G328" s="69">
        <v>1.8444913291175</v>
      </c>
      <c r="H328" s="69">
        <v>0.74999999999999878</v>
      </c>
      <c r="I328" s="69" t="s">
        <v>181</v>
      </c>
      <c r="J328" s="69" t="s">
        <v>38</v>
      </c>
      <c r="K328" s="213" t="s">
        <v>183</v>
      </c>
      <c r="L328" s="69"/>
      <c r="M328" s="69" t="str">
        <f>CapacityTable[[#This Row],[Model]]&amp;CapacityTable[[#This Row],[Type]]&amp;CapacityTable[[#This Row],[T ext]]&amp;CapacityTable[[#This Row],[T water out]]&amp;CapacityTable[[#This Row],[Results origin]]</f>
        <v>BLW Mono 9.1Max power-765Simulation values</v>
      </c>
    </row>
    <row r="329" spans="1:13" x14ac:dyDescent="0.25">
      <c r="A329" t="s">
        <v>25</v>
      </c>
      <c r="B329" s="68" t="s">
        <v>165</v>
      </c>
      <c r="C329" s="92">
        <v>-7</v>
      </c>
      <c r="D329" s="68">
        <v>70</v>
      </c>
      <c r="E329" s="69">
        <v>7.5764338861703404</v>
      </c>
      <c r="F329" s="69">
        <v>4.4152422312383139</v>
      </c>
      <c r="G329" s="69">
        <v>1.7159724176776201</v>
      </c>
      <c r="H329" s="69">
        <v>0.74999999999999878</v>
      </c>
      <c r="I329" s="69" t="s">
        <v>181</v>
      </c>
      <c r="J329" s="69" t="s">
        <v>38</v>
      </c>
      <c r="K329" s="212" t="s">
        <v>48</v>
      </c>
      <c r="L329" s="186" t="s">
        <v>182</v>
      </c>
      <c r="M329" s="69" t="str">
        <f>CapacityTable[[#This Row],[Model]]&amp;CapacityTable[[#This Row],[Type]]&amp;CapacityTable[[#This Row],[T ext]]&amp;CapacityTable[[#This Row],[T water out]]&amp;CapacityTable[[#This Row],[Results origin]]</f>
        <v>BLW Mono 9.1Max power-770Simulation values</v>
      </c>
    </row>
    <row r="330" spans="1:13" x14ac:dyDescent="0.25">
      <c r="A330" t="s">
        <v>25</v>
      </c>
      <c r="B330" s="68" t="s">
        <v>165</v>
      </c>
      <c r="C330" s="92">
        <v>2</v>
      </c>
      <c r="D330" s="68">
        <v>25</v>
      </c>
      <c r="E330" s="69">
        <v>10.577158004223099</v>
      </c>
      <c r="F330" s="69">
        <v>2.7278544634966342</v>
      </c>
      <c r="G330" s="69">
        <v>3.8774641923766802</v>
      </c>
      <c r="H330" s="69">
        <v>1.8300335723217431</v>
      </c>
      <c r="I330" s="69" t="s">
        <v>181</v>
      </c>
      <c r="J330" s="69" t="s">
        <v>38</v>
      </c>
      <c r="K330" s="212" t="s">
        <v>48</v>
      </c>
      <c r="L330" s="186" t="s">
        <v>182</v>
      </c>
      <c r="M330" s="69" t="str">
        <f>CapacityTable[[#This Row],[Model]]&amp;CapacityTable[[#This Row],[Type]]&amp;CapacityTable[[#This Row],[T ext]]&amp;CapacityTable[[#This Row],[T water out]]&amp;CapacityTable[[#This Row],[Results origin]]</f>
        <v>BLW Mono 9.1Max power225Simulation values</v>
      </c>
    </row>
    <row r="331" spans="1:13" x14ac:dyDescent="0.25">
      <c r="A331" t="s">
        <v>25</v>
      </c>
      <c r="B331" s="68" t="s">
        <v>165</v>
      </c>
      <c r="C331" s="92">
        <v>2</v>
      </c>
      <c r="D331" s="68">
        <v>35</v>
      </c>
      <c r="E331" s="69">
        <v>10.2630270549536</v>
      </c>
      <c r="F331" s="69">
        <v>3.111604101316209</v>
      </c>
      <c r="G331" s="69">
        <v>3.2983074712532798</v>
      </c>
      <c r="H331" s="69">
        <v>1.7824509220418605</v>
      </c>
      <c r="I331" s="69" t="s">
        <v>181</v>
      </c>
      <c r="J331" s="69" t="s">
        <v>38</v>
      </c>
      <c r="K331" s="213" t="s">
        <v>183</v>
      </c>
      <c r="L331" s="69"/>
      <c r="M331" s="69" t="str">
        <f>CapacityTable[[#This Row],[Model]]&amp;CapacityTable[[#This Row],[Type]]&amp;CapacityTable[[#This Row],[T ext]]&amp;CapacityTable[[#This Row],[T water out]]&amp;CapacityTable[[#This Row],[Results origin]]</f>
        <v>BLW Mono 9.1Max power235Simulation values</v>
      </c>
    </row>
    <row r="332" spans="1:13" x14ac:dyDescent="0.25">
      <c r="A332" t="s">
        <v>25</v>
      </c>
      <c r="B332" s="68" t="s">
        <v>165</v>
      </c>
      <c r="C332" s="92">
        <v>2</v>
      </c>
      <c r="D332" s="68">
        <v>40</v>
      </c>
      <c r="E332" s="69">
        <v>10.104142011752</v>
      </c>
      <c r="F332" s="69">
        <v>3.3306939165937473</v>
      </c>
      <c r="G332" s="69">
        <v>3.0336447193218401</v>
      </c>
      <c r="H332" s="69">
        <v>1.7581266587439863</v>
      </c>
      <c r="I332" s="69" t="s">
        <v>181</v>
      </c>
      <c r="J332" s="69" t="s">
        <v>38</v>
      </c>
      <c r="K332" s="212" t="s">
        <v>48</v>
      </c>
      <c r="L332" s="186" t="s">
        <v>182</v>
      </c>
      <c r="M332" s="69" t="str">
        <f>CapacityTable[[#This Row],[Model]]&amp;CapacityTable[[#This Row],[Type]]&amp;CapacityTable[[#This Row],[T ext]]&amp;CapacityTable[[#This Row],[T water out]]&amp;CapacityTable[[#This Row],[Results origin]]</f>
        <v>BLW Mono 9.1Max power240Simulation values</v>
      </c>
    </row>
    <row r="333" spans="1:13" x14ac:dyDescent="0.25">
      <c r="A333" t="s">
        <v>25</v>
      </c>
      <c r="B333" s="68" t="s">
        <v>165</v>
      </c>
      <c r="C333" s="92">
        <v>2</v>
      </c>
      <c r="D333" s="68">
        <v>45</v>
      </c>
      <c r="E333" s="69">
        <v>9.9448827651142686</v>
      </c>
      <c r="F333" s="69">
        <v>3.5680330229610533</v>
      </c>
      <c r="G333" s="69">
        <v>2.7872171308720599</v>
      </c>
      <c r="H333" s="69">
        <v>1.7336312516835324</v>
      </c>
      <c r="I333" s="69" t="s">
        <v>181</v>
      </c>
      <c r="J333" s="69" t="s">
        <v>38</v>
      </c>
      <c r="K333" s="213" t="s">
        <v>183</v>
      </c>
      <c r="L333" s="69"/>
      <c r="M333" s="69" t="str">
        <f>CapacityTable[[#This Row],[Model]]&amp;CapacityTable[[#This Row],[Type]]&amp;CapacityTable[[#This Row],[T ext]]&amp;CapacityTable[[#This Row],[T water out]]&amp;CapacityTable[[#This Row],[Results origin]]</f>
        <v>BLW Mono 9.1Max power245Simulation values</v>
      </c>
    </row>
    <row r="334" spans="1:13" x14ac:dyDescent="0.25">
      <c r="A334" t="s">
        <v>25</v>
      </c>
      <c r="B334" s="68" t="s">
        <v>165</v>
      </c>
      <c r="C334" s="92">
        <v>2</v>
      </c>
      <c r="D334" s="68">
        <v>50</v>
      </c>
      <c r="E334" s="69">
        <v>9.829180786713799</v>
      </c>
      <c r="F334" s="69">
        <v>3.7573682843811635</v>
      </c>
      <c r="G334" s="69">
        <v>2.61597481076643</v>
      </c>
      <c r="H334" s="69">
        <v>1.07040558832902</v>
      </c>
      <c r="I334" s="69" t="s">
        <v>181</v>
      </c>
      <c r="J334" s="69" t="s">
        <v>38</v>
      </c>
      <c r="K334" s="212" t="s">
        <v>48</v>
      </c>
      <c r="L334" s="186" t="s">
        <v>182</v>
      </c>
      <c r="M334" s="69" t="str">
        <f>CapacityTable[[#This Row],[Model]]&amp;CapacityTable[[#This Row],[Type]]&amp;CapacityTable[[#This Row],[T ext]]&amp;CapacityTable[[#This Row],[T water out]]&amp;CapacityTable[[#This Row],[Results origin]]</f>
        <v>BLW Mono 9.1Max power250Simulation values</v>
      </c>
    </row>
    <row r="335" spans="1:13" x14ac:dyDescent="0.25">
      <c r="A335" t="s">
        <v>25</v>
      </c>
      <c r="B335" s="68" t="s">
        <v>165</v>
      </c>
      <c r="C335" s="92">
        <v>2</v>
      </c>
      <c r="D335" s="68">
        <v>55</v>
      </c>
      <c r="E335" s="69">
        <v>9.6730678524981109</v>
      </c>
      <c r="F335" s="69">
        <v>4.024083742087158</v>
      </c>
      <c r="G335" s="69">
        <v>2.4037938751943102</v>
      </c>
      <c r="H335" s="69">
        <v>1.0552749212578356</v>
      </c>
      <c r="I335" s="69" t="s">
        <v>181</v>
      </c>
      <c r="J335" s="69" t="s">
        <v>38</v>
      </c>
      <c r="K335" s="213" t="s">
        <v>183</v>
      </c>
      <c r="L335" s="69"/>
      <c r="M335" s="69" t="str">
        <f>CapacityTable[[#This Row],[Model]]&amp;CapacityTable[[#This Row],[Type]]&amp;CapacityTable[[#This Row],[T ext]]&amp;CapacityTable[[#This Row],[T water out]]&amp;CapacityTable[[#This Row],[Results origin]]</f>
        <v>BLW Mono 9.1Max power255Simulation values</v>
      </c>
    </row>
    <row r="336" spans="1:13" x14ac:dyDescent="0.25">
      <c r="A336" t="s">
        <v>25</v>
      </c>
      <c r="B336" s="68" t="s">
        <v>165</v>
      </c>
      <c r="C336" s="92">
        <v>2</v>
      </c>
      <c r="D336" s="68">
        <v>60</v>
      </c>
      <c r="E336" s="69">
        <v>9.5385853975467505</v>
      </c>
      <c r="F336" s="69">
        <v>4.2672645637611435</v>
      </c>
      <c r="G336" s="69">
        <v>2.2352927162171299</v>
      </c>
      <c r="H336" s="69">
        <v>0.83329253638041956</v>
      </c>
      <c r="I336" s="69" t="s">
        <v>181</v>
      </c>
      <c r="J336" s="69" t="s">
        <v>38</v>
      </c>
      <c r="K336" s="212" t="s">
        <v>48</v>
      </c>
      <c r="L336" s="186" t="s">
        <v>182</v>
      </c>
      <c r="M336" s="69" t="str">
        <f>CapacityTable[[#This Row],[Model]]&amp;CapacityTable[[#This Row],[Type]]&amp;CapacityTable[[#This Row],[T ext]]&amp;CapacityTable[[#This Row],[T water out]]&amp;CapacityTable[[#This Row],[Results origin]]</f>
        <v>BLW Mono 9.1Max power260Simulation values</v>
      </c>
    </row>
    <row r="337" spans="1:13" x14ac:dyDescent="0.25">
      <c r="A337" t="s">
        <v>25</v>
      </c>
      <c r="B337" s="68" t="s">
        <v>165</v>
      </c>
      <c r="C337" s="92">
        <v>2</v>
      </c>
      <c r="D337" s="92">
        <v>65</v>
      </c>
      <c r="E337" s="69">
        <v>9.3855083644907307</v>
      </c>
      <c r="F337" s="69">
        <v>4.561360621530743</v>
      </c>
      <c r="G337" s="69">
        <v>2.05761156445049</v>
      </c>
      <c r="H337" s="69">
        <v>0.82138862531285639</v>
      </c>
      <c r="I337" s="69" t="s">
        <v>181</v>
      </c>
      <c r="J337" s="69" t="s">
        <v>38</v>
      </c>
      <c r="K337" s="213" t="s">
        <v>183</v>
      </c>
      <c r="L337" s="69"/>
      <c r="M337" s="69" t="str">
        <f>CapacityTable[[#This Row],[Model]]&amp;CapacityTable[[#This Row],[Type]]&amp;CapacityTable[[#This Row],[T ext]]&amp;CapacityTable[[#This Row],[T water out]]&amp;CapacityTable[[#This Row],[Results origin]]</f>
        <v>BLW Mono 9.1Max power265Simulation values</v>
      </c>
    </row>
    <row r="338" spans="1:13" x14ac:dyDescent="0.25">
      <c r="A338" t="s">
        <v>25</v>
      </c>
      <c r="B338" s="68" t="s">
        <v>165</v>
      </c>
      <c r="C338" s="92">
        <v>2</v>
      </c>
      <c r="D338" s="68">
        <v>70</v>
      </c>
      <c r="E338" s="69">
        <v>8.9694794276477889</v>
      </c>
      <c r="F338" s="69">
        <v>4.6942792869565579</v>
      </c>
      <c r="G338" s="69">
        <v>1.9107255617641301</v>
      </c>
      <c r="H338" s="69">
        <v>0.78647138387228521</v>
      </c>
      <c r="I338" s="69" t="s">
        <v>181</v>
      </c>
      <c r="J338" s="69" t="s">
        <v>38</v>
      </c>
      <c r="K338" s="212" t="s">
        <v>48</v>
      </c>
      <c r="L338" s="186" t="s">
        <v>182</v>
      </c>
      <c r="M338" s="69" t="str">
        <f>CapacityTable[[#This Row],[Model]]&amp;CapacityTable[[#This Row],[Type]]&amp;CapacityTable[[#This Row],[T ext]]&amp;CapacityTable[[#This Row],[T water out]]&amp;CapacityTable[[#This Row],[Results origin]]</f>
        <v>BLW Mono 9.1Max power270Simulation values</v>
      </c>
    </row>
    <row r="339" spans="1:13" x14ac:dyDescent="0.25">
      <c r="A339" t="s">
        <v>25</v>
      </c>
      <c r="B339" s="68" t="s">
        <v>165</v>
      </c>
      <c r="C339" s="92">
        <v>7</v>
      </c>
      <c r="D339" s="68">
        <v>25</v>
      </c>
      <c r="E339" s="69">
        <v>10.766846524058192</v>
      </c>
      <c r="F339" s="69">
        <v>2.357928387710007</v>
      </c>
      <c r="G339" s="69">
        <v>4.566231349593628</v>
      </c>
      <c r="H339" s="69">
        <v>1.862445780207924</v>
      </c>
      <c r="I339" s="69" t="s">
        <v>181</v>
      </c>
      <c r="J339" s="69" t="s">
        <v>38</v>
      </c>
      <c r="K339" s="212" t="s">
        <v>48</v>
      </c>
      <c r="L339" s="186" t="s">
        <v>182</v>
      </c>
      <c r="M339" s="69" t="str">
        <f>CapacityTable[[#This Row],[Model]]&amp;CapacityTable[[#This Row],[Type]]&amp;CapacityTable[[#This Row],[T ext]]&amp;CapacityTable[[#This Row],[T water out]]&amp;CapacityTable[[#This Row],[Results origin]]</f>
        <v>BLW Mono 9.1Max power725Simulation values</v>
      </c>
    </row>
    <row r="340" spans="1:13" x14ac:dyDescent="0.25">
      <c r="A340" t="s">
        <v>25</v>
      </c>
      <c r="B340" s="68" t="s">
        <v>165</v>
      </c>
      <c r="C340" s="92">
        <v>7</v>
      </c>
      <c r="D340" s="68">
        <v>35</v>
      </c>
      <c r="E340" s="69">
        <v>10.766936508077356</v>
      </c>
      <c r="F340" s="69">
        <v>2.9036648896913095</v>
      </c>
      <c r="G340" s="69">
        <v>3.7080506591178972</v>
      </c>
      <c r="H340" s="69">
        <v>1.8693366661141755</v>
      </c>
      <c r="I340" s="69" t="s">
        <v>181</v>
      </c>
      <c r="J340" s="69" t="s">
        <v>38</v>
      </c>
      <c r="K340" s="213" t="s">
        <v>183</v>
      </c>
      <c r="L340" s="69"/>
      <c r="M340" s="69" t="str">
        <f>CapacityTable[[#This Row],[Model]]&amp;CapacityTable[[#This Row],[Type]]&amp;CapacityTable[[#This Row],[T ext]]&amp;CapacityTable[[#This Row],[T water out]]&amp;CapacityTable[[#This Row],[Results origin]]</f>
        <v>BLW Mono 9.1Max power735Simulation values</v>
      </c>
    </row>
    <row r="341" spans="1:13" x14ac:dyDescent="0.25">
      <c r="A341" t="s">
        <v>25</v>
      </c>
      <c r="B341" s="68" t="s">
        <v>165</v>
      </c>
      <c r="C341" s="92">
        <v>7</v>
      </c>
      <c r="D341" s="68">
        <v>40</v>
      </c>
      <c r="E341" s="69">
        <v>10.767002795020684</v>
      </c>
      <c r="F341" s="69">
        <v>3.2181200147033291</v>
      </c>
      <c r="G341" s="69">
        <v>3.3457430878361039</v>
      </c>
      <c r="H341" s="69">
        <v>1.8725466530641466</v>
      </c>
      <c r="I341" s="69" t="s">
        <v>181</v>
      </c>
      <c r="J341" s="69" t="s">
        <v>38</v>
      </c>
      <c r="K341" s="212" t="s">
        <v>48</v>
      </c>
      <c r="L341" s="186" t="s">
        <v>182</v>
      </c>
      <c r="M341" s="69" t="str">
        <f>CapacityTable[[#This Row],[Model]]&amp;CapacityTable[[#This Row],[Type]]&amp;CapacityTable[[#This Row],[T ext]]&amp;CapacityTable[[#This Row],[T water out]]&amp;CapacityTable[[#This Row],[Results origin]]</f>
        <v>BLW Mono 9.1Max power740Simulation values</v>
      </c>
    </row>
    <row r="342" spans="1:13" x14ac:dyDescent="0.25">
      <c r="A342" t="s">
        <v>25</v>
      </c>
      <c r="B342" s="68" t="s">
        <v>165</v>
      </c>
      <c r="C342" s="92">
        <v>7</v>
      </c>
      <c r="D342" s="68">
        <v>45</v>
      </c>
      <c r="E342" s="69">
        <v>10.767110358973293</v>
      </c>
      <c r="F342" s="69">
        <v>3.5596587163591922</v>
      </c>
      <c r="G342" s="69">
        <v>3.0247591741002235</v>
      </c>
      <c r="H342" s="69">
        <v>1.8759027924026506</v>
      </c>
      <c r="I342" s="69" t="s">
        <v>181</v>
      </c>
      <c r="J342" s="69" t="s">
        <v>38</v>
      </c>
      <c r="K342" s="213" t="s">
        <v>183</v>
      </c>
      <c r="L342" s="69"/>
      <c r="M342" s="69" t="str">
        <f>CapacityTable[[#This Row],[Model]]&amp;CapacityTable[[#This Row],[Type]]&amp;CapacityTable[[#This Row],[T ext]]&amp;CapacityTable[[#This Row],[T water out]]&amp;CapacityTable[[#This Row],[Results origin]]</f>
        <v>BLW Mono 9.1Max power745Simulation values</v>
      </c>
    </row>
    <row r="343" spans="1:13" x14ac:dyDescent="0.25">
      <c r="A343" t="s">
        <v>25</v>
      </c>
      <c r="B343" s="68" t="s">
        <v>165</v>
      </c>
      <c r="C343" s="92">
        <v>7</v>
      </c>
      <c r="D343" s="68">
        <v>50</v>
      </c>
      <c r="E343" s="69">
        <v>10.776769138147589</v>
      </c>
      <c r="F343" s="69">
        <v>3.8459010466419405</v>
      </c>
      <c r="G343" s="69">
        <v>2.8021441548937811</v>
      </c>
      <c r="H343" s="69">
        <v>1.1754829901625503</v>
      </c>
      <c r="I343" s="69" t="s">
        <v>181</v>
      </c>
      <c r="J343" s="69" t="s">
        <v>38</v>
      </c>
      <c r="K343" s="212" t="s">
        <v>48</v>
      </c>
      <c r="L343" s="186" t="s">
        <v>182</v>
      </c>
      <c r="M343" s="69" t="str">
        <f>CapacityTable[[#This Row],[Model]]&amp;CapacityTable[[#This Row],[Type]]&amp;CapacityTable[[#This Row],[T ext]]&amp;CapacityTable[[#This Row],[T water out]]&amp;CapacityTable[[#This Row],[Results origin]]</f>
        <v>BLW Mono 9.1Max power750Simulation values</v>
      </c>
    </row>
    <row r="344" spans="1:13" x14ac:dyDescent="0.25">
      <c r="A344" t="s">
        <v>25</v>
      </c>
      <c r="B344" s="68" t="s">
        <v>165</v>
      </c>
      <c r="C344" s="92">
        <v>7</v>
      </c>
      <c r="D344" s="68">
        <v>55</v>
      </c>
      <c r="E344" s="69">
        <v>10.624162269745401</v>
      </c>
      <c r="F344" s="69">
        <v>4.1393154557664342</v>
      </c>
      <c r="G344" s="69">
        <v>2.5666471626232301</v>
      </c>
      <c r="H344" s="69">
        <v>1.1586893621627339</v>
      </c>
      <c r="I344" s="69" t="s">
        <v>181</v>
      </c>
      <c r="J344" s="69" t="s">
        <v>38</v>
      </c>
      <c r="K344" s="213" t="s">
        <v>183</v>
      </c>
      <c r="L344" s="69"/>
      <c r="M344" s="69" t="str">
        <f>CapacityTable[[#This Row],[Model]]&amp;CapacityTable[[#This Row],[Type]]&amp;CapacityTable[[#This Row],[T ext]]&amp;CapacityTable[[#This Row],[T water out]]&amp;CapacityTable[[#This Row],[Results origin]]</f>
        <v>BLW Mono 9.1Max power755Simulation values</v>
      </c>
    </row>
    <row r="345" spans="1:13" x14ac:dyDescent="0.25">
      <c r="A345" t="s">
        <v>25</v>
      </c>
      <c r="B345" s="68" t="s">
        <v>165</v>
      </c>
      <c r="C345" s="92">
        <v>7</v>
      </c>
      <c r="D345" s="68">
        <v>60</v>
      </c>
      <c r="E345" s="69">
        <v>10.4554262276174</v>
      </c>
      <c r="F345" s="69">
        <v>4.3945643045682221</v>
      </c>
      <c r="G345" s="69">
        <v>2.37917242825388</v>
      </c>
      <c r="H345" s="69">
        <v>0.91321196796556547</v>
      </c>
      <c r="I345" s="69" t="s">
        <v>181</v>
      </c>
      <c r="J345" s="69" t="s">
        <v>38</v>
      </c>
      <c r="K345" s="212" t="s">
        <v>48</v>
      </c>
      <c r="L345" s="186" t="s">
        <v>182</v>
      </c>
      <c r="M345" s="69" t="str">
        <f>CapacityTable[[#This Row],[Model]]&amp;CapacityTable[[#This Row],[Type]]&amp;CapacityTable[[#This Row],[T ext]]&amp;CapacityTable[[#This Row],[T water out]]&amp;CapacityTable[[#This Row],[Results origin]]</f>
        <v>BLW Mono 9.1Max power760Simulation values</v>
      </c>
    </row>
    <row r="346" spans="1:13" x14ac:dyDescent="0.25">
      <c r="A346" t="s">
        <v>25</v>
      </c>
      <c r="B346" s="68" t="s">
        <v>165</v>
      </c>
      <c r="C346" s="92">
        <v>7</v>
      </c>
      <c r="D346" s="92">
        <v>65</v>
      </c>
      <c r="E346" s="69">
        <v>10.2648392032586</v>
      </c>
      <c r="F346" s="69">
        <v>4.7030284717091542</v>
      </c>
      <c r="G346" s="69">
        <v>2.18260196913675</v>
      </c>
      <c r="H346" s="69">
        <v>0.89817911096087888</v>
      </c>
      <c r="I346" s="69" t="s">
        <v>181</v>
      </c>
      <c r="J346" s="69" t="s">
        <v>38</v>
      </c>
      <c r="K346" s="213" t="s">
        <v>183</v>
      </c>
      <c r="L346" s="69"/>
      <c r="M346" s="69" t="str">
        <f>CapacityTable[[#This Row],[Model]]&amp;CapacityTable[[#This Row],[Type]]&amp;CapacityTable[[#This Row],[T ext]]&amp;CapacityTable[[#This Row],[T water out]]&amp;CapacityTable[[#This Row],[Results origin]]</f>
        <v>BLW Mono 9.1Max power765Simulation values</v>
      </c>
    </row>
    <row r="347" spans="1:13" x14ac:dyDescent="0.25">
      <c r="A347" t="s">
        <v>25</v>
      </c>
      <c r="B347" s="68" t="s">
        <v>166</v>
      </c>
      <c r="C347" s="92">
        <v>-7</v>
      </c>
      <c r="D347" s="68">
        <v>25</v>
      </c>
      <c r="E347" s="69">
        <v>2.4523856038278198</v>
      </c>
      <c r="F347" s="69">
        <v>0.61073238185198575</v>
      </c>
      <c r="G347" s="69">
        <v>4.0154831751203401</v>
      </c>
      <c r="H347" s="69">
        <v>0.74999999999999878</v>
      </c>
      <c r="I347" s="69" t="s">
        <v>181</v>
      </c>
      <c r="J347" s="69" t="s">
        <v>38</v>
      </c>
      <c r="K347" s="212" t="s">
        <v>48</v>
      </c>
      <c r="L347" s="186" t="s">
        <v>182</v>
      </c>
      <c r="M347" s="69" t="str">
        <f>CapacityTable[[#This Row],[Model]]&amp;CapacityTable[[#This Row],[Type]]&amp;CapacityTable[[#This Row],[T ext]]&amp;CapacityTable[[#This Row],[T water out]]&amp;CapacityTable[[#This Row],[Results origin]]</f>
        <v>BLW Mono 9.1Min power-725Simulation values</v>
      </c>
    </row>
    <row r="348" spans="1:13" x14ac:dyDescent="0.25">
      <c r="A348" t="s">
        <v>25</v>
      </c>
      <c r="B348" s="68" t="s">
        <v>165</v>
      </c>
      <c r="C348" s="92">
        <v>7</v>
      </c>
      <c r="D348" s="68">
        <v>70</v>
      </c>
      <c r="E348" s="69">
        <v>9.7982411928884794</v>
      </c>
      <c r="F348" s="69">
        <v>4.8444185311564221</v>
      </c>
      <c r="G348" s="69">
        <v>2.0225835422501199</v>
      </c>
      <c r="H348" s="69">
        <v>0.85898477389661276</v>
      </c>
      <c r="I348" s="69" t="s">
        <v>181</v>
      </c>
      <c r="J348" s="69" t="s">
        <v>38</v>
      </c>
      <c r="K348" s="212" t="s">
        <v>48</v>
      </c>
      <c r="L348" s="186" t="s">
        <v>182</v>
      </c>
      <c r="M348" s="69" t="str">
        <f>CapacityTable[[#This Row],[Model]]&amp;CapacityTable[[#This Row],[Type]]&amp;CapacityTable[[#This Row],[T ext]]&amp;CapacityTable[[#This Row],[T water out]]&amp;CapacityTable[[#This Row],[Results origin]]</f>
        <v>BLW Mono 9.1Max power770Simulation values</v>
      </c>
    </row>
    <row r="349" spans="1:13" x14ac:dyDescent="0.25">
      <c r="A349" t="s">
        <v>25</v>
      </c>
      <c r="B349" s="68" t="s">
        <v>165</v>
      </c>
      <c r="C349" s="92">
        <v>10</v>
      </c>
      <c r="D349" s="68">
        <v>25</v>
      </c>
      <c r="E349" s="69"/>
      <c r="F349" s="69"/>
      <c r="G349" s="69"/>
      <c r="H349" s="69"/>
      <c r="I349" s="69" t="s">
        <v>181</v>
      </c>
      <c r="J349" s="69" t="s">
        <v>38</v>
      </c>
      <c r="K349" s="212" t="s">
        <v>48</v>
      </c>
      <c r="L349" s="186" t="s">
        <v>182</v>
      </c>
      <c r="M349" s="69" t="str">
        <f>CapacityTable[[#This Row],[Model]]&amp;CapacityTable[[#This Row],[Type]]&amp;CapacityTable[[#This Row],[T ext]]&amp;CapacityTable[[#This Row],[T water out]]&amp;CapacityTable[[#This Row],[Results origin]]</f>
        <v>BLW Mono 9.1Max power1025Simulation values</v>
      </c>
    </row>
    <row r="350" spans="1:13" x14ac:dyDescent="0.25">
      <c r="A350" t="s">
        <v>25</v>
      </c>
      <c r="B350" s="68" t="s">
        <v>165</v>
      </c>
      <c r="C350" s="92">
        <v>10</v>
      </c>
      <c r="D350" s="68">
        <v>40</v>
      </c>
      <c r="E350" s="69"/>
      <c r="F350" s="69"/>
      <c r="G350" s="69"/>
      <c r="H350" s="69"/>
      <c r="I350" s="69" t="s">
        <v>181</v>
      </c>
      <c r="J350" s="69" t="s">
        <v>38</v>
      </c>
      <c r="K350" s="212" t="s">
        <v>48</v>
      </c>
      <c r="L350" s="186" t="s">
        <v>182</v>
      </c>
      <c r="M350" s="69" t="str">
        <f>CapacityTable[[#This Row],[Model]]&amp;CapacityTable[[#This Row],[Type]]&amp;CapacityTable[[#This Row],[T ext]]&amp;CapacityTable[[#This Row],[T water out]]&amp;CapacityTable[[#This Row],[Results origin]]</f>
        <v>BLW Mono 9.1Max power1040Simulation values</v>
      </c>
    </row>
    <row r="351" spans="1:13" x14ac:dyDescent="0.25">
      <c r="A351" t="s">
        <v>25</v>
      </c>
      <c r="B351" s="68" t="s">
        <v>165</v>
      </c>
      <c r="C351" s="92">
        <v>10</v>
      </c>
      <c r="D351" s="68">
        <v>50</v>
      </c>
      <c r="E351" s="69"/>
      <c r="F351" s="69"/>
      <c r="G351" s="69"/>
      <c r="H351" s="69"/>
      <c r="I351" s="69" t="s">
        <v>181</v>
      </c>
      <c r="J351" s="69" t="s">
        <v>38</v>
      </c>
      <c r="K351" s="212" t="s">
        <v>48</v>
      </c>
      <c r="L351" s="186" t="s">
        <v>182</v>
      </c>
      <c r="M351" s="69" t="str">
        <f>CapacityTable[[#This Row],[Model]]&amp;CapacityTable[[#This Row],[Type]]&amp;CapacityTable[[#This Row],[T ext]]&amp;CapacityTable[[#This Row],[T water out]]&amp;CapacityTable[[#This Row],[Results origin]]</f>
        <v>BLW Mono 9.1Max power1050Simulation values</v>
      </c>
    </row>
    <row r="352" spans="1:13" x14ac:dyDescent="0.25">
      <c r="A352" t="s">
        <v>25</v>
      </c>
      <c r="B352" s="68" t="s">
        <v>165</v>
      </c>
      <c r="C352" s="92">
        <v>10</v>
      </c>
      <c r="D352" s="68">
        <v>60</v>
      </c>
      <c r="E352" s="69"/>
      <c r="F352" s="69"/>
      <c r="G352" s="69"/>
      <c r="H352" s="69"/>
      <c r="I352" s="69" t="s">
        <v>181</v>
      </c>
      <c r="J352" s="69" t="s">
        <v>38</v>
      </c>
      <c r="K352" s="212" t="s">
        <v>48</v>
      </c>
      <c r="L352" s="186" t="s">
        <v>182</v>
      </c>
      <c r="M352" s="69" t="str">
        <f>CapacityTable[[#This Row],[Model]]&amp;CapacityTable[[#This Row],[Type]]&amp;CapacityTable[[#This Row],[T ext]]&amp;CapacityTable[[#This Row],[T water out]]&amp;CapacityTable[[#This Row],[Results origin]]</f>
        <v>BLW Mono 9.1Max power1060Simulation values</v>
      </c>
    </row>
    <row r="353" spans="1:13" x14ac:dyDescent="0.25">
      <c r="A353" t="s">
        <v>25</v>
      </c>
      <c r="B353" s="68" t="s">
        <v>165</v>
      </c>
      <c r="C353" s="92">
        <v>10</v>
      </c>
      <c r="D353" s="92">
        <v>65</v>
      </c>
      <c r="E353" s="69"/>
      <c r="F353" s="69"/>
      <c r="G353" s="69"/>
      <c r="H353" s="69"/>
      <c r="I353" s="69" t="s">
        <v>181</v>
      </c>
      <c r="J353" s="69" t="s">
        <v>38</v>
      </c>
      <c r="K353" s="213" t="s">
        <v>183</v>
      </c>
      <c r="L353" s="69"/>
      <c r="M353" s="69" t="str">
        <f>CapacityTable[[#This Row],[Model]]&amp;CapacityTable[[#This Row],[Type]]&amp;CapacityTable[[#This Row],[T ext]]&amp;CapacityTable[[#This Row],[T water out]]&amp;CapacityTable[[#This Row],[Results origin]]</f>
        <v>BLW Mono 9.1Max power1065Simulation values</v>
      </c>
    </row>
    <row r="354" spans="1:13" x14ac:dyDescent="0.25">
      <c r="A354" t="s">
        <v>25</v>
      </c>
      <c r="B354" s="68" t="s">
        <v>165</v>
      </c>
      <c r="C354" s="92">
        <v>10</v>
      </c>
      <c r="D354" s="68">
        <v>70</v>
      </c>
      <c r="E354" s="69"/>
      <c r="F354" s="69"/>
      <c r="G354" s="69"/>
      <c r="H354" s="69"/>
      <c r="I354" s="69" t="s">
        <v>181</v>
      </c>
      <c r="J354" s="69" t="s">
        <v>38</v>
      </c>
      <c r="K354" s="212" t="s">
        <v>48</v>
      </c>
      <c r="L354" s="186" t="s">
        <v>182</v>
      </c>
      <c r="M354" s="69" t="str">
        <f>CapacityTable[[#This Row],[Model]]&amp;CapacityTable[[#This Row],[Type]]&amp;CapacityTable[[#This Row],[T ext]]&amp;CapacityTable[[#This Row],[T water out]]&amp;CapacityTable[[#This Row],[Results origin]]</f>
        <v>BLW Mono 9.1Max power1070Simulation values</v>
      </c>
    </row>
    <row r="355" spans="1:13" x14ac:dyDescent="0.25">
      <c r="A355" t="s">
        <v>25</v>
      </c>
      <c r="B355" s="68" t="s">
        <v>165</v>
      </c>
      <c r="C355" s="92">
        <v>12</v>
      </c>
      <c r="D355" s="68">
        <v>25</v>
      </c>
      <c r="E355" s="69">
        <v>10.766708077760137</v>
      </c>
      <c r="F355" s="69">
        <v>1.953279796607406</v>
      </c>
      <c r="G355" s="69">
        <v>5.512117668170486</v>
      </c>
      <c r="H355" s="69">
        <v>1.8623932432723889</v>
      </c>
      <c r="I355" s="69" t="s">
        <v>181</v>
      </c>
      <c r="J355" s="69" t="s">
        <v>38</v>
      </c>
      <c r="K355" s="212" t="s">
        <v>48</v>
      </c>
      <c r="L355" s="186" t="s">
        <v>182</v>
      </c>
      <c r="M355" s="69" t="str">
        <f>CapacityTable[[#This Row],[Model]]&amp;CapacityTable[[#This Row],[Type]]&amp;CapacityTable[[#This Row],[T ext]]&amp;CapacityTable[[#This Row],[T water out]]&amp;CapacityTable[[#This Row],[Results origin]]</f>
        <v>BLW Mono 9.1Max power1225Simulation values</v>
      </c>
    </row>
    <row r="356" spans="1:13" x14ac:dyDescent="0.25">
      <c r="A356" t="s">
        <v>25</v>
      </c>
      <c r="B356" s="68" t="s">
        <v>165</v>
      </c>
      <c r="C356" s="92">
        <v>12</v>
      </c>
      <c r="D356" s="68">
        <v>35</v>
      </c>
      <c r="E356" s="69">
        <v>10.766796126144314</v>
      </c>
      <c r="F356" s="69">
        <v>2.4597800916790149</v>
      </c>
      <c r="G356" s="69">
        <v>4.3771376809522167</v>
      </c>
      <c r="H356" s="69">
        <v>1.8691691026206627</v>
      </c>
      <c r="I356" s="69" t="s">
        <v>181</v>
      </c>
      <c r="J356" s="69" t="s">
        <v>38</v>
      </c>
      <c r="K356" s="213" t="s">
        <v>183</v>
      </c>
      <c r="L356" s="69"/>
      <c r="M356" s="69" t="str">
        <f>CapacityTable[[#This Row],[Model]]&amp;CapacityTable[[#This Row],[Type]]&amp;CapacityTable[[#This Row],[T ext]]&amp;CapacityTable[[#This Row],[T water out]]&amp;CapacityTable[[#This Row],[Results origin]]</f>
        <v>BLW Mono 9.1Max power1235Simulation values</v>
      </c>
    </row>
    <row r="357" spans="1:13" x14ac:dyDescent="0.25">
      <c r="A357" t="s">
        <v>25</v>
      </c>
      <c r="B357" s="68" t="s">
        <v>165</v>
      </c>
      <c r="C357" s="92">
        <v>12</v>
      </c>
      <c r="D357" s="68">
        <v>40</v>
      </c>
      <c r="E357" s="69">
        <v>10.767074987143936</v>
      </c>
      <c r="F357" s="69">
        <v>2.7560909831068754</v>
      </c>
      <c r="G357" s="69">
        <v>3.9066471510336243</v>
      </c>
      <c r="H357" s="69">
        <v>1.8724512522644683</v>
      </c>
      <c r="I357" s="69" t="s">
        <v>181</v>
      </c>
      <c r="J357" s="69" t="s">
        <v>38</v>
      </c>
      <c r="K357" s="212" t="s">
        <v>48</v>
      </c>
      <c r="L357" s="186" t="s">
        <v>182</v>
      </c>
      <c r="M357" s="69" t="str">
        <f>CapacityTable[[#This Row],[Model]]&amp;CapacityTable[[#This Row],[Type]]&amp;CapacityTable[[#This Row],[T ext]]&amp;CapacityTable[[#This Row],[T water out]]&amp;CapacityTable[[#This Row],[Results origin]]</f>
        <v>BLW Mono 9.1Max power1240Simulation values</v>
      </c>
    </row>
    <row r="358" spans="1:13" x14ac:dyDescent="0.25">
      <c r="A358" t="s">
        <v>25</v>
      </c>
      <c r="B358" s="68" t="s">
        <v>166</v>
      </c>
      <c r="C358" s="92">
        <v>-7</v>
      </c>
      <c r="D358" s="68">
        <v>35</v>
      </c>
      <c r="E358" s="69">
        <v>2.3101444934985897</v>
      </c>
      <c r="F358" s="69">
        <v>0.75095683290143489</v>
      </c>
      <c r="G358" s="69">
        <v>3.0762680253843602</v>
      </c>
      <c r="H358" s="69">
        <v>0.74999999999999878</v>
      </c>
      <c r="I358" s="69" t="s">
        <v>181</v>
      </c>
      <c r="J358" s="69" t="s">
        <v>38</v>
      </c>
      <c r="K358" s="213" t="s">
        <v>183</v>
      </c>
      <c r="L358" s="69" t="s">
        <v>184</v>
      </c>
      <c r="M358" s="69" t="str">
        <f>CapacityTable[[#This Row],[Model]]&amp;CapacityTable[[#This Row],[Type]]&amp;CapacityTable[[#This Row],[T ext]]&amp;CapacityTable[[#This Row],[T water out]]&amp;CapacityTable[[#This Row],[Results origin]]</f>
        <v>BLW Mono 9.1Min power-735Simulation values</v>
      </c>
    </row>
    <row r="359" spans="1:13" x14ac:dyDescent="0.25">
      <c r="A359" t="s">
        <v>25</v>
      </c>
      <c r="B359" s="68" t="s">
        <v>156</v>
      </c>
      <c r="C359" s="92">
        <v>7</v>
      </c>
      <c r="D359" s="92">
        <v>35</v>
      </c>
      <c r="E359" s="69">
        <v>4.5377411380909294</v>
      </c>
      <c r="F359" s="69">
        <v>0.96001701227090031</v>
      </c>
      <c r="G359" s="69">
        <v>4.72672992258439</v>
      </c>
      <c r="H359" s="69">
        <v>0.78955285717441082</v>
      </c>
      <c r="I359" s="69" t="s">
        <v>181</v>
      </c>
      <c r="J359" s="69" t="s">
        <v>38</v>
      </c>
      <c r="K359" s="212" t="s">
        <v>48</v>
      </c>
      <c r="L359" s="186" t="s">
        <v>182</v>
      </c>
      <c r="M359" s="69" t="str">
        <f>CapacityTable[[#This Row],[Model]]&amp;CapacityTable[[#This Row],[Type]]&amp;CapacityTable[[#This Row],[T ext]]&amp;CapacityTable[[#This Row],[T water out]]&amp;CapacityTable[[#This Row],[Results origin]]</f>
        <v>BLW Mono 9.1Best COP735Simulation values</v>
      </c>
    </row>
    <row r="360" spans="1:13" x14ac:dyDescent="0.25">
      <c r="A360" t="s">
        <v>25</v>
      </c>
      <c r="B360" s="68" t="s">
        <v>165</v>
      </c>
      <c r="C360" s="92">
        <v>12</v>
      </c>
      <c r="D360" s="68">
        <v>45</v>
      </c>
      <c r="E360" s="69">
        <v>10.766942488866041</v>
      </c>
      <c r="F360" s="69">
        <v>3.0824055031201705</v>
      </c>
      <c r="G360" s="69">
        <v>3.4930324637583161</v>
      </c>
      <c r="H360" s="69">
        <v>1.8757659649581866</v>
      </c>
      <c r="I360" s="69" t="s">
        <v>181</v>
      </c>
      <c r="J360" s="69" t="s">
        <v>38</v>
      </c>
      <c r="K360" s="213" t="s">
        <v>183</v>
      </c>
      <c r="L360" s="69"/>
      <c r="M360" s="69" t="str">
        <f>CapacityTable[[#This Row],[Model]]&amp;CapacityTable[[#This Row],[Type]]&amp;CapacityTable[[#This Row],[T ext]]&amp;CapacityTable[[#This Row],[T water out]]&amp;CapacityTable[[#This Row],[Results origin]]</f>
        <v>BLW Mono 9.1Max power1245Simulation values</v>
      </c>
    </row>
    <row r="361" spans="1:13" x14ac:dyDescent="0.25">
      <c r="A361" t="s">
        <v>25</v>
      </c>
      <c r="B361" s="68" t="s">
        <v>165</v>
      </c>
      <c r="C361" s="92">
        <v>12</v>
      </c>
      <c r="D361" s="68">
        <v>50</v>
      </c>
      <c r="E361" s="69">
        <v>10.776721280664573</v>
      </c>
      <c r="F361" s="69">
        <v>3.3593898935023052</v>
      </c>
      <c r="G361" s="69">
        <v>3.2079400195579524</v>
      </c>
      <c r="H361" s="69">
        <v>1.1732351822543465</v>
      </c>
      <c r="I361" s="69" t="s">
        <v>181</v>
      </c>
      <c r="J361" s="69" t="s">
        <v>38</v>
      </c>
      <c r="K361" s="212" t="s">
        <v>48</v>
      </c>
      <c r="L361" s="186" t="s">
        <v>182</v>
      </c>
      <c r="M361" s="69" t="str">
        <f>CapacityTable[[#This Row],[Model]]&amp;CapacityTable[[#This Row],[Type]]&amp;CapacityTable[[#This Row],[T ext]]&amp;CapacityTable[[#This Row],[T water out]]&amp;CapacityTable[[#This Row],[Results origin]]</f>
        <v>BLW Mono 9.1Max power1250Simulation values</v>
      </c>
    </row>
    <row r="362" spans="1:13" x14ac:dyDescent="0.25">
      <c r="A362" t="s">
        <v>25</v>
      </c>
      <c r="B362" s="68" t="s">
        <v>165</v>
      </c>
      <c r="C362" s="92">
        <v>12</v>
      </c>
      <c r="D362" s="68">
        <v>55</v>
      </c>
      <c r="E362" s="69">
        <v>10.776707146725073</v>
      </c>
      <c r="F362" s="69">
        <v>3.7420774158993413</v>
      </c>
      <c r="G362" s="69">
        <v>2.879872848417564</v>
      </c>
      <c r="H362" s="69">
        <v>1.1752438149058118</v>
      </c>
      <c r="I362" s="69" t="s">
        <v>181</v>
      </c>
      <c r="J362" s="69" t="s">
        <v>38</v>
      </c>
      <c r="K362" s="213" t="s">
        <v>183</v>
      </c>
      <c r="L362" s="69"/>
      <c r="M362" s="69" t="str">
        <f>CapacityTable[[#This Row],[Model]]&amp;CapacityTable[[#This Row],[Type]]&amp;CapacityTable[[#This Row],[T ext]]&amp;CapacityTable[[#This Row],[T water out]]&amp;CapacityTable[[#This Row],[Results origin]]</f>
        <v>BLW Mono 9.1Max power1255Simulation values</v>
      </c>
    </row>
    <row r="363" spans="1:13" x14ac:dyDescent="0.25">
      <c r="A363" t="s">
        <v>25</v>
      </c>
      <c r="B363" s="68" t="s">
        <v>165</v>
      </c>
      <c r="C363" s="92">
        <v>12</v>
      </c>
      <c r="D363" s="68">
        <v>60</v>
      </c>
      <c r="E363" s="69">
        <v>10.775548992280513</v>
      </c>
      <c r="F363" s="69">
        <v>4.1067263806858678</v>
      </c>
      <c r="G363" s="69">
        <v>2.6238779975599145</v>
      </c>
      <c r="H363" s="69">
        <v>0.94110731602578701</v>
      </c>
      <c r="I363" s="69" t="s">
        <v>181</v>
      </c>
      <c r="J363" s="69" t="s">
        <v>38</v>
      </c>
      <c r="K363" s="212" t="s">
        <v>48</v>
      </c>
      <c r="L363" s="186" t="s">
        <v>182</v>
      </c>
      <c r="M363" s="69" t="str">
        <f>CapacityTable[[#This Row],[Model]]&amp;CapacityTable[[#This Row],[Type]]&amp;CapacityTable[[#This Row],[T ext]]&amp;CapacityTable[[#This Row],[T water out]]&amp;CapacityTable[[#This Row],[Results origin]]</f>
        <v>BLW Mono 9.1Max power1260Simulation values</v>
      </c>
    </row>
    <row r="364" spans="1:13" x14ac:dyDescent="0.25">
      <c r="A364" t="s">
        <v>25</v>
      </c>
      <c r="B364" s="68" t="s">
        <v>165</v>
      </c>
      <c r="C364" s="92">
        <v>12</v>
      </c>
      <c r="D364" s="92">
        <v>65</v>
      </c>
      <c r="E364" s="69">
        <v>10.775550385703131</v>
      </c>
      <c r="F364" s="69">
        <v>4.5538758762875924</v>
      </c>
      <c r="G364" s="69">
        <v>2.3662371743183233</v>
      </c>
      <c r="H364" s="69">
        <v>0.94276569837623525</v>
      </c>
      <c r="I364" s="69" t="s">
        <v>181</v>
      </c>
      <c r="J364" s="69" t="s">
        <v>38</v>
      </c>
      <c r="K364" s="213" t="s">
        <v>183</v>
      </c>
      <c r="L364" s="69"/>
      <c r="M364" s="69" t="str">
        <f>CapacityTable[[#This Row],[Model]]&amp;CapacityTable[[#This Row],[Type]]&amp;CapacityTable[[#This Row],[T ext]]&amp;CapacityTable[[#This Row],[T water out]]&amp;CapacityTable[[#This Row],[Results origin]]</f>
        <v>BLW Mono 9.1Max power1265Simulation values</v>
      </c>
    </row>
    <row r="365" spans="1:13" x14ac:dyDescent="0.25">
      <c r="A365" t="s">
        <v>25</v>
      </c>
      <c r="B365" s="68" t="s">
        <v>165</v>
      </c>
      <c r="C365" s="92">
        <v>12</v>
      </c>
      <c r="D365" s="68">
        <v>70</v>
      </c>
      <c r="E365" s="69">
        <v>10.700893401462102</v>
      </c>
      <c r="F365" s="69">
        <v>4.9868135293371152</v>
      </c>
      <c r="G365" s="69">
        <v>2.1458378859585201</v>
      </c>
      <c r="H365" s="69">
        <v>0.93794083644252235</v>
      </c>
      <c r="I365" s="69" t="s">
        <v>181</v>
      </c>
      <c r="J365" s="69" t="s">
        <v>38</v>
      </c>
      <c r="K365" s="212" t="s">
        <v>48</v>
      </c>
      <c r="L365" s="186" t="s">
        <v>182</v>
      </c>
      <c r="M365" s="69" t="str">
        <f>CapacityTable[[#This Row],[Model]]&amp;CapacityTable[[#This Row],[Type]]&amp;CapacityTable[[#This Row],[T ext]]&amp;CapacityTable[[#This Row],[T water out]]&amp;CapacityTable[[#This Row],[Results origin]]</f>
        <v>BLW Mono 9.1Max power1270Simulation values</v>
      </c>
    </row>
    <row r="366" spans="1:13" x14ac:dyDescent="0.25">
      <c r="A366" t="s">
        <v>25</v>
      </c>
      <c r="B366" s="68" t="s">
        <v>165</v>
      </c>
      <c r="C366" s="92">
        <v>15</v>
      </c>
      <c r="D366" s="68">
        <v>25</v>
      </c>
      <c r="E366" s="69">
        <v>10.766877983843578</v>
      </c>
      <c r="F366" s="69">
        <v>1.8893374284789513</v>
      </c>
      <c r="G366" s="69">
        <v>5.6987586344021501</v>
      </c>
      <c r="H366" s="69">
        <v>1.8623886677151893</v>
      </c>
      <c r="I366" s="69" t="s">
        <v>181</v>
      </c>
      <c r="J366" s="69" t="s">
        <v>38</v>
      </c>
      <c r="K366" s="212" t="s">
        <v>48</v>
      </c>
      <c r="L366" s="186" t="s">
        <v>182</v>
      </c>
      <c r="M366" s="69" t="str">
        <f>CapacityTable[[#This Row],[Model]]&amp;CapacityTable[[#This Row],[Type]]&amp;CapacityTable[[#This Row],[T ext]]&amp;CapacityTable[[#This Row],[T water out]]&amp;CapacityTable[[#This Row],[Results origin]]</f>
        <v>BLW Mono 9.1Max power1525Simulation values</v>
      </c>
    </row>
    <row r="367" spans="1:13" x14ac:dyDescent="0.25">
      <c r="A367" t="s">
        <v>25</v>
      </c>
      <c r="B367" s="68" t="s">
        <v>165</v>
      </c>
      <c r="C367" s="92">
        <v>15</v>
      </c>
      <c r="D367" s="68">
        <v>35</v>
      </c>
      <c r="E367" s="69">
        <v>10.76702257888696</v>
      </c>
      <c r="F367" s="69">
        <v>2.3859129220671136</v>
      </c>
      <c r="G367" s="69">
        <v>4.5127475019325516</v>
      </c>
      <c r="H367" s="69">
        <v>1.8691403508067486</v>
      </c>
      <c r="I367" s="69" t="s">
        <v>181</v>
      </c>
      <c r="J367" s="69" t="s">
        <v>38</v>
      </c>
      <c r="K367" s="212" t="s">
        <v>48</v>
      </c>
      <c r="L367" s="186" t="s">
        <v>182</v>
      </c>
      <c r="M367" s="69" t="str">
        <f>CapacityTable[[#This Row],[Model]]&amp;CapacityTable[[#This Row],[Type]]&amp;CapacityTable[[#This Row],[T ext]]&amp;CapacityTable[[#This Row],[T water out]]&amp;CapacityTable[[#This Row],[Results origin]]</f>
        <v>BLW Mono 9.1Max power1535Simulation values</v>
      </c>
    </row>
    <row r="368" spans="1:13" x14ac:dyDescent="0.25">
      <c r="A368" t="s">
        <v>25</v>
      </c>
      <c r="B368" s="68" t="s">
        <v>165</v>
      </c>
      <c r="C368" s="92">
        <v>15</v>
      </c>
      <c r="D368" s="68">
        <v>40</v>
      </c>
      <c r="E368" s="69">
        <v>10.766902952986444</v>
      </c>
      <c r="F368" s="69">
        <v>2.6806443379891047</v>
      </c>
      <c r="G368" s="69">
        <v>4.01653542784541</v>
      </c>
      <c r="H368" s="69">
        <v>1.8724430775829692</v>
      </c>
      <c r="I368" s="69" t="s">
        <v>181</v>
      </c>
      <c r="J368" s="69" t="s">
        <v>38</v>
      </c>
      <c r="K368" s="212" t="s">
        <v>48</v>
      </c>
      <c r="L368" s="186" t="s">
        <v>182</v>
      </c>
      <c r="M368" s="69" t="str">
        <f>CapacityTable[[#This Row],[Model]]&amp;CapacityTable[[#This Row],[Type]]&amp;CapacityTable[[#This Row],[T ext]]&amp;CapacityTable[[#This Row],[T water out]]&amp;CapacityTable[[#This Row],[Results origin]]</f>
        <v>BLW Mono 9.1Max power1540Simulation values</v>
      </c>
    </row>
    <row r="369" spans="1:13" x14ac:dyDescent="0.25">
      <c r="A369" t="s">
        <v>25</v>
      </c>
      <c r="B369" s="68" t="s">
        <v>165</v>
      </c>
      <c r="C369" s="92">
        <v>15</v>
      </c>
      <c r="D369" s="68">
        <v>45</v>
      </c>
      <c r="E369" s="69">
        <v>10.767172132515556</v>
      </c>
      <c r="F369" s="69">
        <v>3.0050857125368102</v>
      </c>
      <c r="G369" s="69">
        <v>3.5829833696910454</v>
      </c>
      <c r="H369" s="69">
        <v>1.8757471831252917</v>
      </c>
      <c r="I369" s="69" t="s">
        <v>181</v>
      </c>
      <c r="J369" s="69" t="s">
        <v>38</v>
      </c>
      <c r="K369" s="212" t="s">
        <v>48</v>
      </c>
      <c r="L369" s="186" t="s">
        <v>182</v>
      </c>
      <c r="M369" s="69" t="str">
        <f>CapacityTable[[#This Row],[Model]]&amp;CapacityTable[[#This Row],[Type]]&amp;CapacityTable[[#This Row],[T ext]]&amp;CapacityTable[[#This Row],[T water out]]&amp;CapacityTable[[#This Row],[Results origin]]</f>
        <v>BLW Mono 9.1Max power1545Simulation values</v>
      </c>
    </row>
    <row r="370" spans="1:13" x14ac:dyDescent="0.25">
      <c r="A370" t="s">
        <v>25</v>
      </c>
      <c r="B370" s="68" t="s">
        <v>165</v>
      </c>
      <c r="C370" s="92">
        <v>15</v>
      </c>
      <c r="D370" s="68">
        <v>50</v>
      </c>
      <c r="E370" s="69">
        <v>10.776666553281482</v>
      </c>
      <c r="F370" s="69">
        <v>3.276894957708222</v>
      </c>
      <c r="G370" s="69">
        <v>3.288682332624544</v>
      </c>
      <c r="H370" s="69">
        <v>1.173228396797678</v>
      </c>
      <c r="I370" s="69" t="s">
        <v>181</v>
      </c>
      <c r="J370" s="69" t="s">
        <v>38</v>
      </c>
      <c r="K370" s="212" t="s">
        <v>48</v>
      </c>
      <c r="L370" s="186" t="s">
        <v>182</v>
      </c>
      <c r="M370" s="69" t="str">
        <f>CapacityTable[[#This Row],[Model]]&amp;CapacityTable[[#This Row],[Type]]&amp;CapacityTable[[#This Row],[T ext]]&amp;CapacityTable[[#This Row],[T water out]]&amp;CapacityTable[[#This Row],[Results origin]]</f>
        <v>BLW Mono 9.1Max power1550Simulation values</v>
      </c>
    </row>
    <row r="371" spans="1:13" x14ac:dyDescent="0.25">
      <c r="A371" t="s">
        <v>25</v>
      </c>
      <c r="B371" s="68" t="s">
        <v>165</v>
      </c>
      <c r="C371" s="92">
        <v>15</v>
      </c>
      <c r="D371" s="68">
        <v>55</v>
      </c>
      <c r="E371" s="69">
        <v>10.776751786995787</v>
      </c>
      <c r="F371" s="69">
        <v>3.6589915885313284</v>
      </c>
      <c r="G371" s="69">
        <v>2.9452791913417418</v>
      </c>
      <c r="H371" s="69">
        <v>1.1752627644577869</v>
      </c>
      <c r="I371" s="69" t="s">
        <v>181</v>
      </c>
      <c r="J371" s="69" t="s">
        <v>38</v>
      </c>
      <c r="K371" s="212" t="s">
        <v>48</v>
      </c>
      <c r="L371" s="186" t="s">
        <v>186</v>
      </c>
      <c r="M371" s="69" t="str">
        <f>CapacityTable[[#This Row],[Model]]&amp;CapacityTable[[#This Row],[Type]]&amp;CapacityTable[[#This Row],[T ext]]&amp;CapacityTable[[#This Row],[T water out]]&amp;CapacityTable[[#This Row],[Results origin]]</f>
        <v>BLW Mono 9.1Max power1555Simulation values</v>
      </c>
    </row>
    <row r="372" spans="1:13" x14ac:dyDescent="0.25">
      <c r="A372" t="s">
        <v>25</v>
      </c>
      <c r="B372" s="68" t="s">
        <v>165</v>
      </c>
      <c r="C372" s="92">
        <v>15</v>
      </c>
      <c r="D372" s="68">
        <v>60</v>
      </c>
      <c r="E372" s="69">
        <v>10.775537857222213</v>
      </c>
      <c r="F372" s="69">
        <v>4.020963935260558</v>
      </c>
      <c r="G372" s="69">
        <v>2.6798394690212408</v>
      </c>
      <c r="H372" s="69">
        <v>0.9411025045153385</v>
      </c>
      <c r="I372" s="69" t="s">
        <v>181</v>
      </c>
      <c r="J372" s="69" t="s">
        <v>38</v>
      </c>
      <c r="K372" s="212" t="s">
        <v>48</v>
      </c>
      <c r="L372" s="186" t="s">
        <v>182</v>
      </c>
      <c r="M372" s="69" t="str">
        <f>CapacityTable[[#This Row],[Model]]&amp;CapacityTable[[#This Row],[Type]]&amp;CapacityTable[[#This Row],[T ext]]&amp;CapacityTable[[#This Row],[T water out]]&amp;CapacityTable[[#This Row],[Results origin]]</f>
        <v>BLW Mono 9.1Max power1560Simulation values</v>
      </c>
    </row>
    <row r="373" spans="1:13" x14ac:dyDescent="0.25">
      <c r="A373" t="s">
        <v>25</v>
      </c>
      <c r="B373" s="68" t="s">
        <v>165</v>
      </c>
      <c r="C373" s="92">
        <v>15</v>
      </c>
      <c r="D373" s="92">
        <v>65</v>
      </c>
      <c r="E373" s="69">
        <v>10.775548924337564</v>
      </c>
      <c r="F373" s="69">
        <v>4.4673315371275786</v>
      </c>
      <c r="G373" s="69">
        <v>2.4120772847913736</v>
      </c>
      <c r="H373" s="69">
        <v>0.94276399147326362</v>
      </c>
      <c r="I373" s="69" t="s">
        <v>181</v>
      </c>
      <c r="J373" s="69" t="s">
        <v>38</v>
      </c>
      <c r="K373" s="212" t="s">
        <v>48</v>
      </c>
      <c r="L373" s="186" t="s">
        <v>182</v>
      </c>
      <c r="M373" s="69" t="str">
        <f>CapacityTable[[#This Row],[Model]]&amp;CapacityTable[[#This Row],[Type]]&amp;CapacityTable[[#This Row],[T ext]]&amp;CapacityTable[[#This Row],[T water out]]&amp;CapacityTable[[#This Row],[Results origin]]</f>
        <v>BLW Mono 9.1Max power1565Simulation values</v>
      </c>
    </row>
    <row r="374" spans="1:13" x14ac:dyDescent="0.25">
      <c r="A374" t="s">
        <v>25</v>
      </c>
      <c r="B374" s="68" t="s">
        <v>165</v>
      </c>
      <c r="C374" s="92">
        <v>15</v>
      </c>
      <c r="D374" s="68">
        <v>70</v>
      </c>
      <c r="E374" s="69">
        <v>10.775556084587242</v>
      </c>
      <c r="F374" s="69">
        <v>4.7657840396464888</v>
      </c>
      <c r="G374" s="69">
        <v>2.2610248376648094</v>
      </c>
      <c r="H374" s="69">
        <v>0.94967007480491084</v>
      </c>
      <c r="I374" s="69" t="s">
        <v>181</v>
      </c>
      <c r="J374" s="69" t="s">
        <v>38</v>
      </c>
      <c r="K374" s="212" t="s">
        <v>48</v>
      </c>
      <c r="L374" s="186" t="s">
        <v>182</v>
      </c>
      <c r="M374" s="69" t="str">
        <f>CapacityTable[[#This Row],[Model]]&amp;CapacityTable[[#This Row],[Type]]&amp;CapacityTable[[#This Row],[T ext]]&amp;CapacityTable[[#This Row],[T water out]]&amp;CapacityTable[[#This Row],[Results origin]]</f>
        <v>BLW Mono 9.1Max power1570Simulation values</v>
      </c>
    </row>
    <row r="375" spans="1:13" x14ac:dyDescent="0.25">
      <c r="A375" t="s">
        <v>25</v>
      </c>
      <c r="B375" s="68" t="s">
        <v>165</v>
      </c>
      <c r="C375" s="92">
        <v>20</v>
      </c>
      <c r="D375" s="68">
        <v>25</v>
      </c>
      <c r="E375" s="69">
        <v>10.76685907716988</v>
      </c>
      <c r="F375" s="69">
        <v>1.7023348392341913</v>
      </c>
      <c r="G375" s="69">
        <v>6.3247598703986085</v>
      </c>
      <c r="H375" s="69">
        <v>1.8623802251584525</v>
      </c>
      <c r="I375" s="69" t="s">
        <v>181</v>
      </c>
      <c r="J375" s="69" t="s">
        <v>38</v>
      </c>
      <c r="K375" s="212" t="s">
        <v>48</v>
      </c>
      <c r="L375" s="186" t="s">
        <v>182</v>
      </c>
      <c r="M375" s="69" t="str">
        <f>CapacityTable[[#This Row],[Model]]&amp;CapacityTable[[#This Row],[Type]]&amp;CapacityTable[[#This Row],[T ext]]&amp;CapacityTable[[#This Row],[T water out]]&amp;CapacityTable[[#This Row],[Results origin]]</f>
        <v>BLW Mono 9.1Max power2025Simulation values</v>
      </c>
    </row>
    <row r="376" spans="1:13" x14ac:dyDescent="0.25">
      <c r="A376" t="s">
        <v>25</v>
      </c>
      <c r="B376" s="68" t="s">
        <v>165</v>
      </c>
      <c r="C376" s="92">
        <v>20</v>
      </c>
      <c r="D376" s="68">
        <v>35</v>
      </c>
      <c r="E376" s="69">
        <v>10.766923474571179</v>
      </c>
      <c r="F376" s="69">
        <v>2.1499770143423147</v>
      </c>
      <c r="G376" s="69">
        <v>5.007924923264734</v>
      </c>
      <c r="H376" s="69">
        <v>1.8691195619262893</v>
      </c>
      <c r="I376" s="69" t="s">
        <v>181</v>
      </c>
      <c r="J376" s="69" t="s">
        <v>38</v>
      </c>
      <c r="K376" s="213" t="s">
        <v>183</v>
      </c>
      <c r="L376" s="69"/>
      <c r="M376" s="69" t="str">
        <f>CapacityTable[[#This Row],[Model]]&amp;CapacityTable[[#This Row],[Type]]&amp;CapacityTable[[#This Row],[T ext]]&amp;CapacityTable[[#This Row],[T water out]]&amp;CapacityTable[[#This Row],[Results origin]]</f>
        <v>BLW Mono 9.1Max power2035Simulation values</v>
      </c>
    </row>
    <row r="377" spans="1:13" x14ac:dyDescent="0.25">
      <c r="A377" t="s">
        <v>25</v>
      </c>
      <c r="B377" s="68" t="s">
        <v>165</v>
      </c>
      <c r="C377" s="92">
        <v>20</v>
      </c>
      <c r="D377" s="68">
        <v>40</v>
      </c>
      <c r="E377" s="69">
        <v>10.767115330652731</v>
      </c>
      <c r="F377" s="69">
        <v>2.4193616264559075</v>
      </c>
      <c r="G377" s="69">
        <v>4.450395183966501</v>
      </c>
      <c r="H377" s="69">
        <v>1.8724319747304921</v>
      </c>
      <c r="I377" s="69" t="s">
        <v>181</v>
      </c>
      <c r="J377" s="69" t="s">
        <v>38</v>
      </c>
      <c r="K377" s="212" t="s">
        <v>48</v>
      </c>
      <c r="L377" s="186" t="s">
        <v>182</v>
      </c>
      <c r="M377" s="69" t="str">
        <f>CapacityTable[[#This Row],[Model]]&amp;CapacityTable[[#This Row],[Type]]&amp;CapacityTable[[#This Row],[T ext]]&amp;CapacityTable[[#This Row],[T water out]]&amp;CapacityTable[[#This Row],[Results origin]]</f>
        <v>BLW Mono 9.1Max power2040Simulation values</v>
      </c>
    </row>
    <row r="378" spans="1:13" x14ac:dyDescent="0.25">
      <c r="A378" t="s">
        <v>25</v>
      </c>
      <c r="B378" s="68" t="s">
        <v>165</v>
      </c>
      <c r="C378" s="92">
        <v>20</v>
      </c>
      <c r="D378" s="68">
        <v>45</v>
      </c>
      <c r="E378" s="69">
        <v>10.766977078141132</v>
      </c>
      <c r="F378" s="69">
        <v>2.7183384337473564</v>
      </c>
      <c r="G378" s="69">
        <v>3.9608670298268756</v>
      </c>
      <c r="H378" s="69">
        <v>1.8757311564730563</v>
      </c>
      <c r="I378" s="69" t="s">
        <v>181</v>
      </c>
      <c r="J378" s="69" t="s">
        <v>38</v>
      </c>
      <c r="K378" s="213" t="s">
        <v>183</v>
      </c>
      <c r="L378" s="69"/>
      <c r="M378" s="69" t="str">
        <f>CapacityTable[[#This Row],[Model]]&amp;CapacityTable[[#This Row],[Type]]&amp;CapacityTable[[#This Row],[T ext]]&amp;CapacityTable[[#This Row],[T water out]]&amp;CapacityTable[[#This Row],[Results origin]]</f>
        <v>BLW Mono 9.1Max power2045Simulation values</v>
      </c>
    </row>
    <row r="379" spans="1:13" x14ac:dyDescent="0.25">
      <c r="A379" t="s">
        <v>25</v>
      </c>
      <c r="B379" s="68" t="s">
        <v>165</v>
      </c>
      <c r="C379" s="92">
        <v>20</v>
      </c>
      <c r="D379" s="68">
        <v>50</v>
      </c>
      <c r="E379" s="69">
        <v>10.776723447032404</v>
      </c>
      <c r="F379" s="69">
        <v>2.973079384269921</v>
      </c>
      <c r="G379" s="69">
        <v>3.624768145798694</v>
      </c>
      <c r="H379" s="69">
        <v>1.1732325625058195</v>
      </c>
      <c r="I379" s="69" t="s">
        <v>181</v>
      </c>
      <c r="J379" s="69" t="s">
        <v>38</v>
      </c>
      <c r="K379" s="212" t="s">
        <v>48</v>
      </c>
      <c r="L379" s="186" t="s">
        <v>182</v>
      </c>
      <c r="M379" s="69" t="str">
        <f>CapacityTable[[#This Row],[Model]]&amp;CapacityTable[[#This Row],[Type]]&amp;CapacityTable[[#This Row],[T ext]]&amp;CapacityTable[[#This Row],[T water out]]&amp;CapacityTable[[#This Row],[Results origin]]</f>
        <v>BLW Mono 9.1Max power2050Simulation values</v>
      </c>
    </row>
    <row r="380" spans="1:13" x14ac:dyDescent="0.25">
      <c r="A380" t="s">
        <v>23</v>
      </c>
      <c r="B380" s="68" t="s">
        <v>156</v>
      </c>
      <c r="C380" s="216">
        <v>7</v>
      </c>
      <c r="D380" s="92">
        <v>35</v>
      </c>
      <c r="E380" s="69">
        <v>3.41</v>
      </c>
      <c r="F380" s="69">
        <v>0.67</v>
      </c>
      <c r="G380" s="69">
        <v>5.0599999999999996</v>
      </c>
      <c r="H380" s="69">
        <v>0.6</v>
      </c>
      <c r="I380" s="69" t="s">
        <v>181</v>
      </c>
      <c r="J380" s="69" t="s">
        <v>41</v>
      </c>
      <c r="K380" s="213" t="s">
        <v>190</v>
      </c>
      <c r="L380" s="186"/>
      <c r="M380" s="69" t="str">
        <f>CapacityTable[[#This Row],[Model]]&amp;CapacityTable[[#This Row],[Type]]&amp;CapacityTable[[#This Row],[T ext]]&amp;CapacityTable[[#This Row],[T water out]]&amp;CapacityTable[[#This Row],[Results origin]]</f>
        <v>BLW Mono 6.1Best COP735Certified values</v>
      </c>
    </row>
    <row r="381" spans="1:13" x14ac:dyDescent="0.25">
      <c r="A381" t="s">
        <v>23</v>
      </c>
      <c r="B381" s="68" t="s">
        <v>156</v>
      </c>
      <c r="C381" s="68">
        <v>7</v>
      </c>
      <c r="D381" s="92">
        <v>35</v>
      </c>
      <c r="E381" s="69">
        <v>3.41</v>
      </c>
      <c r="F381" s="69">
        <v>0.67</v>
      </c>
      <c r="G381" s="69">
        <v>5.0599999999999996</v>
      </c>
      <c r="H381" s="69">
        <v>0.6</v>
      </c>
      <c r="I381" s="69" t="s">
        <v>181</v>
      </c>
      <c r="J381" s="69" t="s">
        <v>188</v>
      </c>
      <c r="K381" s="212" t="s">
        <v>55</v>
      </c>
      <c r="L381" s="186"/>
      <c r="M381" s="69" t="str">
        <f>CapacityTable[[#This Row],[Model]]&amp;CapacityTable[[#This Row],[Type]]&amp;CapacityTable[[#This Row],[T ext]]&amp;CapacityTable[[#This Row],[T water out]]&amp;CapacityTable[[#This Row],[Results origin]]</f>
        <v>BLW Mono 6.1Best COP735Test values</v>
      </c>
    </row>
    <row r="382" spans="1:13" x14ac:dyDescent="0.25">
      <c r="A382" t="s">
        <v>25</v>
      </c>
      <c r="B382" s="68" t="s">
        <v>156</v>
      </c>
      <c r="C382" s="68">
        <v>7</v>
      </c>
      <c r="D382" s="92">
        <v>35</v>
      </c>
      <c r="E382" s="69">
        <v>4.5199999999999996</v>
      </c>
      <c r="F382" s="69">
        <v>0.89</v>
      </c>
      <c r="G382" s="69">
        <v>5.08</v>
      </c>
      <c r="H382" s="69">
        <v>0.78700000000000003</v>
      </c>
      <c r="I382" s="69" t="s">
        <v>181</v>
      </c>
      <c r="J382" s="69" t="s">
        <v>41</v>
      </c>
      <c r="K382" s="213" t="s">
        <v>190</v>
      </c>
      <c r="L382" s="186"/>
      <c r="M382" s="69" t="str">
        <f>CapacityTable[[#This Row],[Model]]&amp;CapacityTable[[#This Row],[Type]]&amp;CapacityTable[[#This Row],[T ext]]&amp;CapacityTable[[#This Row],[T water out]]&amp;CapacityTable[[#This Row],[Results origin]]</f>
        <v>BLW Mono 9.1Best COP735Certified values</v>
      </c>
    </row>
    <row r="383" spans="1:13" x14ac:dyDescent="0.25">
      <c r="A383" t="s">
        <v>25</v>
      </c>
      <c r="B383" s="68" t="s">
        <v>156</v>
      </c>
      <c r="C383" s="216">
        <v>7</v>
      </c>
      <c r="D383" s="92">
        <v>35</v>
      </c>
      <c r="E383" s="69">
        <v>4.5221999999999998</v>
      </c>
      <c r="F383" s="69">
        <v>0.89100000000000001</v>
      </c>
      <c r="G383" s="69">
        <v>5.0750000000000002</v>
      </c>
      <c r="H383" s="69">
        <v>0.78700000000000003</v>
      </c>
      <c r="I383" s="69" t="s">
        <v>181</v>
      </c>
      <c r="J383" s="69" t="s">
        <v>188</v>
      </c>
      <c r="K383" s="213" t="s">
        <v>56</v>
      </c>
      <c r="L383" s="186"/>
      <c r="M383" s="69" t="str">
        <f>CapacityTable[[#This Row],[Model]]&amp;CapacityTable[[#This Row],[Type]]&amp;CapacityTable[[#This Row],[T ext]]&amp;CapacityTable[[#This Row],[T water out]]&amp;CapacityTable[[#This Row],[Results origin]]</f>
        <v>BLW Mono 9.1Best COP735Test values</v>
      </c>
    </row>
    <row r="384" spans="1:13" x14ac:dyDescent="0.25">
      <c r="A384" t="s">
        <v>23</v>
      </c>
      <c r="B384" s="68" t="s">
        <v>156</v>
      </c>
      <c r="C384" s="92">
        <v>7</v>
      </c>
      <c r="D384" s="68">
        <v>40</v>
      </c>
      <c r="E384" s="69">
        <v>3.9573078280168601</v>
      </c>
      <c r="F384" s="69">
        <v>0.99740502293516109</v>
      </c>
      <c r="G384" s="69">
        <v>3.9676036685390899</v>
      </c>
      <c r="H384" s="69">
        <v>0.68962423189890243</v>
      </c>
      <c r="I384" s="69" t="s">
        <v>181</v>
      </c>
      <c r="J384" s="69" t="s">
        <v>38</v>
      </c>
      <c r="K384" s="212" t="s">
        <v>48</v>
      </c>
      <c r="L384" s="186" t="s">
        <v>182</v>
      </c>
      <c r="M384" s="69" t="str">
        <f>CapacityTable[[#This Row],[Model]]&amp;CapacityTable[[#This Row],[Type]]&amp;CapacityTable[[#This Row],[T ext]]&amp;CapacityTable[[#This Row],[T water out]]&amp;CapacityTable[[#This Row],[Results origin]]</f>
        <v>BLW Mono 6.1Best COP740Simulation values</v>
      </c>
    </row>
    <row r="385" spans="1:13" x14ac:dyDescent="0.25">
      <c r="A385" t="s">
        <v>25</v>
      </c>
      <c r="B385" s="68" t="s">
        <v>156</v>
      </c>
      <c r="C385" s="92">
        <v>7</v>
      </c>
      <c r="D385" s="68">
        <v>40</v>
      </c>
      <c r="E385" s="69">
        <v>4.9257993383977698</v>
      </c>
      <c r="F385" s="69">
        <v>1.1804125199119107</v>
      </c>
      <c r="G385" s="69">
        <v>4.1729473851779897</v>
      </c>
      <c r="H385" s="69">
        <v>0.85828895136599392</v>
      </c>
      <c r="I385" s="69" t="s">
        <v>181</v>
      </c>
      <c r="J385" s="69" t="s">
        <v>38</v>
      </c>
      <c r="K385" s="212" t="s">
        <v>48</v>
      </c>
      <c r="L385" s="186" t="s">
        <v>182</v>
      </c>
      <c r="M385" s="69" t="str">
        <f>CapacityTable[[#This Row],[Model]]&amp;CapacityTable[[#This Row],[Type]]&amp;CapacityTable[[#This Row],[T ext]]&amp;CapacityTable[[#This Row],[T water out]]&amp;CapacityTable[[#This Row],[Results origin]]</f>
        <v>BLW Mono 9.1Best COP740Simulation values</v>
      </c>
    </row>
    <row r="386" spans="1:13" x14ac:dyDescent="0.25">
      <c r="A386" t="s">
        <v>23</v>
      </c>
      <c r="B386" s="68" t="s">
        <v>156</v>
      </c>
      <c r="C386" s="92">
        <v>7</v>
      </c>
      <c r="D386" s="92">
        <v>45</v>
      </c>
      <c r="E386" s="69">
        <v>3.8746549713082299</v>
      </c>
      <c r="F386" s="69">
        <v>1.0907444874690571</v>
      </c>
      <c r="G386" s="69">
        <v>3.5523030515596798</v>
      </c>
      <c r="H386" s="69">
        <v>0.67648604323022643</v>
      </c>
      <c r="I386" s="69" t="s">
        <v>181</v>
      </c>
      <c r="J386" s="69" t="s">
        <v>38</v>
      </c>
      <c r="K386" s="212" t="s">
        <v>48</v>
      </c>
      <c r="L386" s="186" t="s">
        <v>189</v>
      </c>
      <c r="M386" s="69" t="str">
        <f>CapacityTable[[#This Row],[Model]]&amp;CapacityTable[[#This Row],[Type]]&amp;CapacityTable[[#This Row],[T ext]]&amp;CapacityTable[[#This Row],[T water out]]&amp;CapacityTable[[#This Row],[Results origin]]</f>
        <v>BLW Mono 6.1Best COP745Simulation values</v>
      </c>
    </row>
    <row r="387" spans="1:13" x14ac:dyDescent="0.25">
      <c r="A387" t="s">
        <v>23</v>
      </c>
      <c r="B387" s="68" t="s">
        <v>165</v>
      </c>
      <c r="C387" s="92">
        <v>20</v>
      </c>
      <c r="D387" s="92">
        <v>55</v>
      </c>
      <c r="E387" s="69">
        <v>7.1806940658831415</v>
      </c>
      <c r="F387" s="69">
        <v>1.9616755738643326</v>
      </c>
      <c r="G387" s="69">
        <v>3.6278139523635402</v>
      </c>
      <c r="H387" s="69">
        <v>0.78351003223747218</v>
      </c>
      <c r="I387" s="69" t="s">
        <v>181</v>
      </c>
      <c r="J387" s="69" t="s">
        <v>38</v>
      </c>
      <c r="K387" s="213" t="s">
        <v>183</v>
      </c>
      <c r="L387" s="69"/>
      <c r="M387" s="69" t="str">
        <f>CapacityTable[[#This Row],[Model]]&amp;CapacityTable[[#This Row],[Type]]&amp;CapacityTable[[#This Row],[T ext]]&amp;CapacityTable[[#This Row],[T water out]]&amp;CapacityTable[[#This Row],[Results origin]]</f>
        <v>BLW Mono 6.1Max power2055Simulation values</v>
      </c>
    </row>
    <row r="388" spans="1:13" x14ac:dyDescent="0.25">
      <c r="A388" t="s">
        <v>25</v>
      </c>
      <c r="B388" s="68" t="s">
        <v>156</v>
      </c>
      <c r="C388" s="92">
        <v>7</v>
      </c>
      <c r="D388" s="92">
        <v>45</v>
      </c>
      <c r="E388" s="69">
        <v>5.4823500774551901</v>
      </c>
      <c r="F388" s="69">
        <v>1.4827343531874417</v>
      </c>
      <c r="G388" s="69">
        <v>3.6974594037494</v>
      </c>
      <c r="H388" s="69">
        <v>0.95648697154972451</v>
      </c>
      <c r="I388" s="69" t="s">
        <v>181</v>
      </c>
      <c r="J388" s="69" t="s">
        <v>38</v>
      </c>
      <c r="K388" s="212" t="s">
        <v>48</v>
      </c>
      <c r="L388" s="186" t="s">
        <v>189</v>
      </c>
      <c r="M388" s="69" t="str">
        <f>CapacityTable[[#This Row],[Model]]&amp;CapacityTable[[#This Row],[Type]]&amp;CapacityTable[[#This Row],[T ext]]&amp;CapacityTable[[#This Row],[T water out]]&amp;CapacityTable[[#This Row],[Results origin]]</f>
        <v>BLW Mono 9.1Best COP745Simulation values</v>
      </c>
    </row>
    <row r="389" spans="1:13" x14ac:dyDescent="0.25">
      <c r="A389" t="s">
        <v>23</v>
      </c>
      <c r="B389" s="68" t="s">
        <v>156</v>
      </c>
      <c r="C389" s="92">
        <v>7</v>
      </c>
      <c r="D389" s="68">
        <v>50</v>
      </c>
      <c r="E389" s="69">
        <v>4.2452148484078096</v>
      </c>
      <c r="F389" s="69">
        <v>1.306649397709549</v>
      </c>
      <c r="G389" s="69">
        <v>3.2489318526066202</v>
      </c>
      <c r="H389" s="69">
        <v>0.46315585221557043</v>
      </c>
      <c r="I389" s="69" t="s">
        <v>181</v>
      </c>
      <c r="J389" s="69" t="s">
        <v>38</v>
      </c>
      <c r="K389" s="212" t="s">
        <v>48</v>
      </c>
      <c r="L389" s="186" t="s">
        <v>182</v>
      </c>
      <c r="M389" s="69" t="str">
        <f>CapacityTable[[#This Row],[Model]]&amp;CapacityTable[[#This Row],[Type]]&amp;CapacityTable[[#This Row],[T ext]]&amp;CapacityTable[[#This Row],[T water out]]&amp;CapacityTable[[#This Row],[Results origin]]</f>
        <v>BLW Mono 6.1Best COP750Simulation values</v>
      </c>
    </row>
    <row r="390" spans="1:13" x14ac:dyDescent="0.25">
      <c r="A390" t="s">
        <v>23</v>
      </c>
      <c r="B390" s="68" t="s">
        <v>165</v>
      </c>
      <c r="C390" s="92">
        <v>20</v>
      </c>
      <c r="D390" s="68">
        <v>60</v>
      </c>
      <c r="E390" s="69">
        <v>7.1801293048173491</v>
      </c>
      <c r="F390" s="69">
        <v>2.1734295757114337</v>
      </c>
      <c r="G390" s="69">
        <v>3.276965683496436</v>
      </c>
      <c r="H390" s="69">
        <v>0.62740569087496556</v>
      </c>
      <c r="I390" s="69" t="s">
        <v>181</v>
      </c>
      <c r="J390" s="69" t="s">
        <v>38</v>
      </c>
      <c r="K390" s="212" t="s">
        <v>48</v>
      </c>
      <c r="L390" s="186" t="s">
        <v>182</v>
      </c>
      <c r="M390" s="69" t="str">
        <f>CapacityTable[[#This Row],[Model]]&amp;CapacityTable[[#This Row],[Type]]&amp;CapacityTable[[#This Row],[T ext]]&amp;CapacityTable[[#This Row],[T water out]]&amp;CapacityTable[[#This Row],[Results origin]]</f>
        <v>BLW Mono 6.1Max power2060Simulation values</v>
      </c>
    </row>
    <row r="391" spans="1:13" x14ac:dyDescent="0.25">
      <c r="A391" t="s">
        <v>25</v>
      </c>
      <c r="B391" s="68" t="s">
        <v>156</v>
      </c>
      <c r="C391" s="92">
        <v>7</v>
      </c>
      <c r="D391" s="68">
        <v>50</v>
      </c>
      <c r="E391" s="69">
        <v>6.0534808842301997</v>
      </c>
      <c r="F391" s="69">
        <v>1.8194477806084104</v>
      </c>
      <c r="G391" s="69">
        <v>3.3270978968167801</v>
      </c>
      <c r="H391" s="69">
        <v>0.74999999999999878</v>
      </c>
      <c r="I391" s="69" t="s">
        <v>181</v>
      </c>
      <c r="J391" s="69" t="s">
        <v>38</v>
      </c>
      <c r="K391" s="212" t="s">
        <v>48</v>
      </c>
      <c r="L391" s="186" t="s">
        <v>182</v>
      </c>
      <c r="M391" s="69" t="str">
        <f>CapacityTable[[#This Row],[Model]]&amp;CapacityTable[[#This Row],[Type]]&amp;CapacityTable[[#This Row],[T ext]]&amp;CapacityTable[[#This Row],[T water out]]&amp;CapacityTable[[#This Row],[Results origin]]</f>
        <v>BLW Mono 9.1Best COP750Simulation values</v>
      </c>
    </row>
    <row r="392" spans="1:13" x14ac:dyDescent="0.25">
      <c r="A392" t="s">
        <v>23</v>
      </c>
      <c r="B392" s="68" t="s">
        <v>156</v>
      </c>
      <c r="C392" s="92">
        <v>7</v>
      </c>
      <c r="D392" s="92">
        <v>55</v>
      </c>
      <c r="E392" s="69">
        <v>4.1476688986213803</v>
      </c>
      <c r="F392" s="69">
        <v>1.417454456091088</v>
      </c>
      <c r="G392" s="69">
        <v>2.9261390944859</v>
      </c>
      <c r="H392" s="69">
        <v>0.45332460357877796</v>
      </c>
      <c r="I392" s="69" t="s">
        <v>181</v>
      </c>
      <c r="J392" s="69" t="s">
        <v>38</v>
      </c>
      <c r="K392" s="212" t="s">
        <v>48</v>
      </c>
      <c r="L392" s="186" t="s">
        <v>186</v>
      </c>
      <c r="M392" s="69" t="str">
        <f>CapacityTable[[#This Row],[Model]]&amp;CapacityTable[[#This Row],[Type]]&amp;CapacityTable[[#This Row],[T ext]]&amp;CapacityTable[[#This Row],[T water out]]&amp;CapacityTable[[#This Row],[Results origin]]</f>
        <v>BLW Mono 6.1Best COP755Simulation values</v>
      </c>
    </row>
    <row r="393" spans="1:13" x14ac:dyDescent="0.25">
      <c r="A393" t="s">
        <v>25</v>
      </c>
      <c r="B393" s="68" t="s">
        <v>156</v>
      </c>
      <c r="C393" s="92">
        <v>7</v>
      </c>
      <c r="D393" s="92">
        <v>55</v>
      </c>
      <c r="E393" s="69">
        <v>5.9146743156589299</v>
      </c>
      <c r="F393" s="69">
        <v>1.9857126154696252</v>
      </c>
      <c r="G393" s="69">
        <v>2.9786154701243599</v>
      </c>
      <c r="H393" s="69">
        <v>0.74999999999999878</v>
      </c>
      <c r="I393" s="69" t="s">
        <v>181</v>
      </c>
      <c r="J393" s="69" t="s">
        <v>38</v>
      </c>
      <c r="K393" s="212" t="s">
        <v>48</v>
      </c>
      <c r="L393" s="186" t="s">
        <v>186</v>
      </c>
      <c r="M393" s="69" t="str">
        <f>CapacityTable[[#This Row],[Model]]&amp;CapacityTable[[#This Row],[Type]]&amp;CapacityTable[[#This Row],[T ext]]&amp;CapacityTable[[#This Row],[T water out]]&amp;CapacityTable[[#This Row],[Results origin]]</f>
        <v>BLW Mono 9.1Best COP755Simulation values</v>
      </c>
    </row>
    <row r="394" spans="1:13" x14ac:dyDescent="0.25">
      <c r="A394" t="s">
        <v>23</v>
      </c>
      <c r="B394" s="68" t="s">
        <v>156</v>
      </c>
      <c r="C394" s="216">
        <v>7</v>
      </c>
      <c r="D394" s="92">
        <v>55</v>
      </c>
      <c r="E394" s="69">
        <v>4.38</v>
      </c>
      <c r="F394" s="69">
        <v>1.46</v>
      </c>
      <c r="G394" s="69">
        <v>3.01</v>
      </c>
      <c r="H394" s="69">
        <v>0.48</v>
      </c>
      <c r="I394" s="69" t="s">
        <v>181</v>
      </c>
      <c r="J394" s="69" t="s">
        <v>188</v>
      </c>
      <c r="K394" s="212" t="s">
        <v>55</v>
      </c>
      <c r="L394" s="186"/>
      <c r="M394" s="69" t="str">
        <f>CapacityTable[[#This Row],[Model]]&amp;CapacityTable[[#This Row],[Type]]&amp;CapacityTable[[#This Row],[T ext]]&amp;CapacityTable[[#This Row],[T water out]]&amp;CapacityTable[[#This Row],[Results origin]]</f>
        <v>BLW Mono 6.1Best COP755Test values</v>
      </c>
    </row>
    <row r="395" spans="1:13" x14ac:dyDescent="0.25">
      <c r="A395" t="s">
        <v>23</v>
      </c>
      <c r="B395" s="68" t="s">
        <v>156</v>
      </c>
      <c r="C395" s="68">
        <v>7</v>
      </c>
      <c r="D395" s="92">
        <v>55</v>
      </c>
      <c r="E395" s="69">
        <v>4.38</v>
      </c>
      <c r="F395" s="69">
        <v>1.46</v>
      </c>
      <c r="G395" s="69">
        <v>3.01</v>
      </c>
      <c r="H395" s="69">
        <v>0.48</v>
      </c>
      <c r="I395" s="69" t="s">
        <v>181</v>
      </c>
      <c r="J395" s="69" t="s">
        <v>41</v>
      </c>
      <c r="K395" s="213" t="s">
        <v>190</v>
      </c>
      <c r="L395" s="186"/>
      <c r="M395" s="69" t="str">
        <f>CapacityTable[[#This Row],[Model]]&amp;CapacityTable[[#This Row],[Type]]&amp;CapacityTable[[#This Row],[T ext]]&amp;CapacityTable[[#This Row],[T water out]]&amp;CapacityTable[[#This Row],[Results origin]]</f>
        <v>BLW Mono 6.1Best COP755Certified values</v>
      </c>
    </row>
    <row r="396" spans="1:13" x14ac:dyDescent="0.25">
      <c r="A396" t="s">
        <v>23</v>
      </c>
      <c r="B396" s="68" t="s">
        <v>166</v>
      </c>
      <c r="C396" s="92">
        <v>20</v>
      </c>
      <c r="D396" s="68">
        <v>55</v>
      </c>
      <c r="E396" s="69">
        <v>2.3869084969590797</v>
      </c>
      <c r="F396" s="69">
        <v>0.64201997101308594</v>
      </c>
      <c r="G396" s="69">
        <v>3.7178103559498599</v>
      </c>
      <c r="H396" s="69">
        <v>0.432</v>
      </c>
      <c r="I396" s="69" t="s">
        <v>181</v>
      </c>
      <c r="J396" s="69" t="s">
        <v>38</v>
      </c>
      <c r="K396" s="212" t="s">
        <v>48</v>
      </c>
      <c r="L396" s="69"/>
      <c r="M396" s="69" t="str">
        <f>CapacityTable[[#This Row],[Model]]&amp;CapacityTable[[#This Row],[Type]]&amp;CapacityTable[[#This Row],[T ext]]&amp;CapacityTable[[#This Row],[T water out]]&amp;CapacityTable[[#This Row],[Results origin]]</f>
        <v>BLW Mono 6.1Min power2055Simulation values</v>
      </c>
    </row>
    <row r="397" spans="1:13" x14ac:dyDescent="0.25">
      <c r="A397" t="s">
        <v>23</v>
      </c>
      <c r="B397" s="68" t="s">
        <v>166</v>
      </c>
      <c r="C397" s="92">
        <v>20</v>
      </c>
      <c r="D397" s="68">
        <v>60</v>
      </c>
      <c r="E397" s="69">
        <v>2.6885904083790901</v>
      </c>
      <c r="F397" s="69">
        <v>0.80654956564605063</v>
      </c>
      <c r="G397" s="69">
        <v>3.3334472212200801</v>
      </c>
      <c r="H397" s="69">
        <v>0.432</v>
      </c>
      <c r="I397" s="69" t="s">
        <v>181</v>
      </c>
      <c r="J397" s="69" t="s">
        <v>38</v>
      </c>
      <c r="K397" s="212" t="s">
        <v>48</v>
      </c>
      <c r="L397" s="186"/>
      <c r="M397" s="69" t="str">
        <f>CapacityTable[[#This Row],[Model]]&amp;CapacityTable[[#This Row],[Type]]&amp;CapacityTable[[#This Row],[T ext]]&amp;CapacityTable[[#This Row],[T water out]]&amp;CapacityTable[[#This Row],[Results origin]]</f>
        <v>BLW Mono 6.1Min power2060Simulation values</v>
      </c>
    </row>
    <row r="398" spans="1:13" x14ac:dyDescent="0.25">
      <c r="A398" t="s">
        <v>25</v>
      </c>
      <c r="B398" s="68" t="s">
        <v>156</v>
      </c>
      <c r="C398" s="68">
        <v>7</v>
      </c>
      <c r="D398" s="92">
        <v>55</v>
      </c>
      <c r="E398" s="69">
        <v>7.0395000000000003</v>
      </c>
      <c r="F398" s="69">
        <v>2.2414999999999998</v>
      </c>
      <c r="G398" s="69">
        <v>3.141</v>
      </c>
      <c r="H398" s="69">
        <v>0.77200000000000002</v>
      </c>
      <c r="I398" s="69" t="s">
        <v>181</v>
      </c>
      <c r="J398" s="69" t="s">
        <v>188</v>
      </c>
      <c r="K398" s="213" t="s">
        <v>56</v>
      </c>
      <c r="L398" s="186"/>
      <c r="M398" s="69" t="str">
        <f>CapacityTable[[#This Row],[Model]]&amp;CapacityTable[[#This Row],[Type]]&amp;CapacityTable[[#This Row],[T ext]]&amp;CapacityTable[[#This Row],[T water out]]&amp;CapacityTable[[#This Row],[Results origin]]</f>
        <v>BLW Mono 9.1Best COP755Test values</v>
      </c>
    </row>
    <row r="399" spans="1:13" x14ac:dyDescent="0.25">
      <c r="A399" t="s">
        <v>25</v>
      </c>
      <c r="B399" s="68" t="s">
        <v>165</v>
      </c>
      <c r="C399" s="92">
        <v>20</v>
      </c>
      <c r="D399" s="68">
        <v>55</v>
      </c>
      <c r="E399" s="69">
        <v>10.77676539885781</v>
      </c>
      <c r="F399" s="69">
        <v>3.3276775887987222</v>
      </c>
      <c r="G399" s="69">
        <v>3.238524499829377</v>
      </c>
      <c r="H399" s="69">
        <v>1.1752600276207692</v>
      </c>
      <c r="I399" s="69" t="s">
        <v>181</v>
      </c>
      <c r="J399" s="69" t="s">
        <v>38</v>
      </c>
      <c r="K399" s="213" t="s">
        <v>183</v>
      </c>
      <c r="L399" s="69"/>
      <c r="M399" s="69" t="str">
        <f>CapacityTable[[#This Row],[Model]]&amp;CapacityTable[[#This Row],[Type]]&amp;CapacityTable[[#This Row],[T ext]]&amp;CapacityTable[[#This Row],[T water out]]&amp;CapacityTable[[#This Row],[Results origin]]</f>
        <v>BLW Mono 9.1Max power2055Simulation values</v>
      </c>
    </row>
    <row r="400" spans="1:13" x14ac:dyDescent="0.25">
      <c r="A400" t="s">
        <v>25</v>
      </c>
      <c r="B400" s="68" t="s">
        <v>156</v>
      </c>
      <c r="C400" s="92">
        <v>7</v>
      </c>
      <c r="D400" s="68">
        <v>60</v>
      </c>
      <c r="E400" s="69">
        <v>6.4104951580118801</v>
      </c>
      <c r="F400" s="69">
        <v>2.3931812065342029</v>
      </c>
      <c r="G400" s="69">
        <v>2.6786501333492998</v>
      </c>
      <c r="H400" s="69">
        <v>0.74999999999999878</v>
      </c>
      <c r="I400" s="69" t="s">
        <v>181</v>
      </c>
      <c r="J400" s="69" t="s">
        <v>38</v>
      </c>
      <c r="K400" s="212" t="s">
        <v>48</v>
      </c>
      <c r="L400" s="186" t="s">
        <v>182</v>
      </c>
      <c r="M400" s="69" t="str">
        <f>CapacityTable[[#This Row],[Model]]&amp;CapacityTable[[#This Row],[Type]]&amp;CapacityTable[[#This Row],[T ext]]&amp;CapacityTable[[#This Row],[T water out]]&amp;CapacityTable[[#This Row],[Results origin]]</f>
        <v>BLW Mono 9.1Best COP760Simulation values</v>
      </c>
    </row>
    <row r="401" spans="1:13" x14ac:dyDescent="0.25">
      <c r="A401" t="s">
        <v>25</v>
      </c>
      <c r="B401" s="68" t="s">
        <v>156</v>
      </c>
      <c r="C401" s="216">
        <v>7</v>
      </c>
      <c r="D401" s="92">
        <v>55</v>
      </c>
      <c r="E401" s="69">
        <v>7.04</v>
      </c>
      <c r="F401" s="69">
        <v>2.2400000000000002</v>
      </c>
      <c r="G401" s="69">
        <v>3.14</v>
      </c>
      <c r="H401" s="69">
        <v>0.77200000000000002</v>
      </c>
      <c r="I401" s="69" t="s">
        <v>181</v>
      </c>
      <c r="J401" s="69" t="s">
        <v>41</v>
      </c>
      <c r="K401" s="213" t="s">
        <v>190</v>
      </c>
      <c r="L401" s="186"/>
      <c r="M401" s="69" t="str">
        <f>CapacityTable[[#This Row],[Model]]&amp;CapacityTable[[#This Row],[Type]]&amp;CapacityTable[[#This Row],[T ext]]&amp;CapacityTable[[#This Row],[T water out]]&amp;CapacityTable[[#This Row],[Results origin]]</f>
        <v>BLW Mono 9.1Best COP755Certified values</v>
      </c>
    </row>
    <row r="402" spans="1:13" x14ac:dyDescent="0.25">
      <c r="A402" t="s">
        <v>23</v>
      </c>
      <c r="B402" s="68" t="s">
        <v>156</v>
      </c>
      <c r="C402" s="92">
        <v>7</v>
      </c>
      <c r="D402" s="68">
        <v>60</v>
      </c>
      <c r="E402" s="69">
        <v>4.4626402938727701</v>
      </c>
      <c r="F402" s="69">
        <v>1.6905370563144151</v>
      </c>
      <c r="G402" s="69">
        <v>2.6397766775972902</v>
      </c>
      <c r="H402" s="69">
        <v>0.432</v>
      </c>
      <c r="I402" s="69" t="s">
        <v>181</v>
      </c>
      <c r="J402" s="69" t="s">
        <v>38</v>
      </c>
      <c r="K402" s="212" t="s">
        <v>48</v>
      </c>
      <c r="L402" s="186" t="s">
        <v>182</v>
      </c>
      <c r="M402" s="69" t="str">
        <f>CapacityTable[[#This Row],[Model]]&amp;CapacityTable[[#This Row],[Type]]&amp;CapacityTable[[#This Row],[T ext]]&amp;CapacityTable[[#This Row],[T water out]]&amp;CapacityTable[[#This Row],[Results origin]]</f>
        <v>BLW Mono 6.1Best COP760Simulation values</v>
      </c>
    </row>
    <row r="403" spans="1:13" x14ac:dyDescent="0.25">
      <c r="A403" t="s">
        <v>25</v>
      </c>
      <c r="B403" s="68" t="s">
        <v>156</v>
      </c>
      <c r="C403" s="92">
        <v>7</v>
      </c>
      <c r="D403" s="92">
        <v>65</v>
      </c>
      <c r="E403" s="69">
        <v>6.2654636367901304</v>
      </c>
      <c r="F403" s="69">
        <v>2.5943360627073213</v>
      </c>
      <c r="G403" s="69">
        <v>2.4150547521017001</v>
      </c>
      <c r="H403" s="69">
        <v>0.74999999999999878</v>
      </c>
      <c r="I403" s="69" t="s">
        <v>181</v>
      </c>
      <c r="J403" s="69" t="s">
        <v>38</v>
      </c>
      <c r="K403" s="212" t="s">
        <v>48</v>
      </c>
      <c r="L403" s="186" t="s">
        <v>189</v>
      </c>
      <c r="M403" s="69" t="str">
        <f>CapacityTable[[#This Row],[Model]]&amp;CapacityTable[[#This Row],[Type]]&amp;CapacityTable[[#This Row],[T ext]]&amp;CapacityTable[[#This Row],[T water out]]&amp;CapacityTable[[#This Row],[Results origin]]</f>
        <v>BLW Mono 9.1Best COP765Simulation values</v>
      </c>
    </row>
    <row r="404" spans="1:13" x14ac:dyDescent="0.25">
      <c r="A404" t="s">
        <v>23</v>
      </c>
      <c r="B404" s="68" t="s">
        <v>156</v>
      </c>
      <c r="C404" s="92">
        <v>7</v>
      </c>
      <c r="D404" s="92">
        <v>65</v>
      </c>
      <c r="E404" s="69">
        <v>4.7435405533739807</v>
      </c>
      <c r="F404" s="69">
        <v>1.9990639650852389</v>
      </c>
      <c r="G404" s="69">
        <v>2.3728808263380001</v>
      </c>
      <c r="H404" s="69">
        <v>0.432</v>
      </c>
      <c r="I404" s="69" t="s">
        <v>181</v>
      </c>
      <c r="J404" s="69" t="s">
        <v>38</v>
      </c>
      <c r="K404" s="212" t="s">
        <v>48</v>
      </c>
      <c r="L404" s="186" t="s">
        <v>189</v>
      </c>
      <c r="M404" s="69" t="str">
        <f>CapacityTable[[#This Row],[Model]]&amp;CapacityTable[[#This Row],[Type]]&amp;CapacityTable[[#This Row],[T ext]]&amp;CapacityTable[[#This Row],[T water out]]&amp;CapacityTable[[#This Row],[Results origin]]</f>
        <v>BLW Mono 6.1Best COP765Simulation values</v>
      </c>
    </row>
    <row r="405" spans="1:13" x14ac:dyDescent="0.25">
      <c r="A405" t="s">
        <v>25</v>
      </c>
      <c r="B405" s="68" t="s">
        <v>156</v>
      </c>
      <c r="C405" s="92">
        <v>7</v>
      </c>
      <c r="D405" s="68">
        <v>70</v>
      </c>
      <c r="E405" s="69">
        <v>6.1234750680566803</v>
      </c>
      <c r="F405" s="69">
        <v>2.8055274374130552</v>
      </c>
      <c r="G405" s="69">
        <v>2.1826466518905501</v>
      </c>
      <c r="H405" s="69">
        <v>0.74999999999999878</v>
      </c>
      <c r="I405" s="69" t="s">
        <v>181</v>
      </c>
      <c r="J405" s="69" t="s">
        <v>38</v>
      </c>
      <c r="K405" s="212" t="s">
        <v>48</v>
      </c>
      <c r="L405" s="186" t="s">
        <v>182</v>
      </c>
      <c r="M405" s="69" t="str">
        <f>CapacityTable[[#This Row],[Model]]&amp;CapacityTable[[#This Row],[Type]]&amp;CapacityTable[[#This Row],[T ext]]&amp;CapacityTable[[#This Row],[T water out]]&amp;CapacityTable[[#This Row],[Results origin]]</f>
        <v>BLW Mono 9.1Best COP770Simulation values</v>
      </c>
    </row>
    <row r="406" spans="1:13" x14ac:dyDescent="0.25">
      <c r="A406" t="s">
        <v>23</v>
      </c>
      <c r="B406" s="68" t="s">
        <v>156</v>
      </c>
      <c r="C406" s="92">
        <v>7</v>
      </c>
      <c r="D406" s="68">
        <v>70</v>
      </c>
      <c r="E406" s="69">
        <v>4.9891452623661294</v>
      </c>
      <c r="F406" s="69">
        <v>2.3387749639975515</v>
      </c>
      <c r="G406" s="69">
        <v>2.13323014790548</v>
      </c>
      <c r="H406" s="69">
        <v>0.43786443201059883</v>
      </c>
      <c r="I406" s="69" t="s">
        <v>181</v>
      </c>
      <c r="J406" s="69" t="s">
        <v>38</v>
      </c>
      <c r="K406" s="212" t="s">
        <v>48</v>
      </c>
      <c r="L406" s="186" t="s">
        <v>182</v>
      </c>
      <c r="M406" s="69" t="str">
        <f>CapacityTable[[#This Row],[Model]]&amp;CapacityTable[[#This Row],[Type]]&amp;CapacityTable[[#This Row],[T ext]]&amp;CapacityTable[[#This Row],[T water out]]&amp;CapacityTable[[#This Row],[Results origin]]</f>
        <v>BLW Mono 6.1Best COP770Simulation values</v>
      </c>
    </row>
    <row r="407" spans="1:13" x14ac:dyDescent="0.25">
      <c r="A407" t="s">
        <v>25</v>
      </c>
      <c r="B407" s="68" t="s">
        <v>156</v>
      </c>
      <c r="C407" s="92">
        <v>10</v>
      </c>
      <c r="D407" s="68">
        <v>25</v>
      </c>
      <c r="E407" s="69"/>
      <c r="F407" s="69"/>
      <c r="G407" s="69"/>
      <c r="H407" s="69"/>
      <c r="I407" s="69" t="s">
        <v>181</v>
      </c>
      <c r="J407" s="69" t="s">
        <v>38</v>
      </c>
      <c r="K407" s="212" t="s">
        <v>48</v>
      </c>
      <c r="L407" s="186" t="s">
        <v>182</v>
      </c>
      <c r="M407" s="69" t="str">
        <f>CapacityTable[[#This Row],[Model]]&amp;CapacityTable[[#This Row],[Type]]&amp;CapacityTable[[#This Row],[T ext]]&amp;CapacityTable[[#This Row],[T water out]]&amp;CapacityTable[[#This Row],[Results origin]]</f>
        <v>BLW Mono 9.1Best COP1025Simulation values</v>
      </c>
    </row>
    <row r="408" spans="1:13" x14ac:dyDescent="0.25">
      <c r="A408" t="s">
        <v>23</v>
      </c>
      <c r="B408" s="68" t="s">
        <v>156</v>
      </c>
      <c r="C408" s="92">
        <v>10</v>
      </c>
      <c r="D408" s="68">
        <v>25</v>
      </c>
      <c r="E408" s="69"/>
      <c r="F408" s="69"/>
      <c r="G408" s="69"/>
      <c r="H408" s="69"/>
      <c r="I408" s="69" t="s">
        <v>181</v>
      </c>
      <c r="J408" s="69" t="s">
        <v>38</v>
      </c>
      <c r="K408" s="212" t="s">
        <v>48</v>
      </c>
      <c r="L408" s="186" t="s">
        <v>182</v>
      </c>
      <c r="M408" s="69" t="str">
        <f>CapacityTable[[#This Row],[Model]]&amp;CapacityTable[[#This Row],[Type]]&amp;CapacityTable[[#This Row],[T ext]]&amp;CapacityTable[[#This Row],[T water out]]&amp;CapacityTable[[#This Row],[Results origin]]</f>
        <v>BLW Mono 6.1Best COP1025Simulation values</v>
      </c>
    </row>
    <row r="409" spans="1:13" x14ac:dyDescent="0.25">
      <c r="A409" t="s">
        <v>25</v>
      </c>
      <c r="B409" s="68" t="s">
        <v>156</v>
      </c>
      <c r="C409" s="92">
        <v>10</v>
      </c>
      <c r="D409" s="68">
        <v>40</v>
      </c>
      <c r="E409" s="69"/>
      <c r="F409" s="69"/>
      <c r="G409" s="69"/>
      <c r="H409" s="69"/>
      <c r="I409" s="69" t="s">
        <v>181</v>
      </c>
      <c r="J409" s="69" t="s">
        <v>38</v>
      </c>
      <c r="K409" s="212" t="s">
        <v>48</v>
      </c>
      <c r="L409" s="186" t="s">
        <v>182</v>
      </c>
      <c r="M409" s="69" t="str">
        <f>CapacityTable[[#This Row],[Model]]&amp;CapacityTable[[#This Row],[Type]]&amp;CapacityTable[[#This Row],[T ext]]&amp;CapacityTable[[#This Row],[T water out]]&amp;CapacityTable[[#This Row],[Results origin]]</f>
        <v>BLW Mono 9.1Best COP1040Simulation values</v>
      </c>
    </row>
    <row r="410" spans="1:13" x14ac:dyDescent="0.25">
      <c r="A410" t="s">
        <v>23</v>
      </c>
      <c r="B410" s="68" t="s">
        <v>156</v>
      </c>
      <c r="C410" s="92">
        <v>10</v>
      </c>
      <c r="D410" s="68">
        <v>40</v>
      </c>
      <c r="E410" s="69"/>
      <c r="F410" s="69"/>
      <c r="G410" s="69"/>
      <c r="H410" s="69"/>
      <c r="I410" s="69" t="s">
        <v>181</v>
      </c>
      <c r="J410" s="69" t="s">
        <v>38</v>
      </c>
      <c r="K410" s="212" t="s">
        <v>48</v>
      </c>
      <c r="L410" s="186" t="s">
        <v>182</v>
      </c>
      <c r="M410" s="69" t="str">
        <f>CapacityTable[[#This Row],[Model]]&amp;CapacityTable[[#This Row],[Type]]&amp;CapacityTable[[#This Row],[T ext]]&amp;CapacityTable[[#This Row],[T water out]]&amp;CapacityTable[[#This Row],[Results origin]]</f>
        <v>BLW Mono 6.1Best COP1040Simulation values</v>
      </c>
    </row>
    <row r="411" spans="1:13" x14ac:dyDescent="0.25">
      <c r="A411" t="s">
        <v>25</v>
      </c>
      <c r="B411" s="68" t="s">
        <v>156</v>
      </c>
      <c r="C411" s="92">
        <v>10</v>
      </c>
      <c r="D411" s="68">
        <v>50</v>
      </c>
      <c r="E411" s="69"/>
      <c r="F411" s="69"/>
      <c r="G411" s="69"/>
      <c r="H411" s="69"/>
      <c r="I411" s="69" t="s">
        <v>181</v>
      </c>
      <c r="J411" s="69" t="s">
        <v>38</v>
      </c>
      <c r="K411" s="212" t="s">
        <v>48</v>
      </c>
      <c r="L411" s="186" t="s">
        <v>182</v>
      </c>
      <c r="M411" s="69" t="str">
        <f>CapacityTable[[#This Row],[Model]]&amp;CapacityTable[[#This Row],[Type]]&amp;CapacityTable[[#This Row],[T ext]]&amp;CapacityTable[[#This Row],[T water out]]&amp;CapacityTable[[#This Row],[Results origin]]</f>
        <v>BLW Mono 9.1Best COP1050Simulation values</v>
      </c>
    </row>
    <row r="412" spans="1:13" x14ac:dyDescent="0.25">
      <c r="A412" t="s">
        <v>23</v>
      </c>
      <c r="B412" s="68" t="s">
        <v>156</v>
      </c>
      <c r="C412" s="92">
        <v>10</v>
      </c>
      <c r="D412" s="68">
        <v>50</v>
      </c>
      <c r="E412" s="69"/>
      <c r="F412" s="69"/>
      <c r="G412" s="69"/>
      <c r="H412" s="69"/>
      <c r="I412" s="69" t="s">
        <v>181</v>
      </c>
      <c r="J412" s="69" t="s">
        <v>38</v>
      </c>
      <c r="K412" s="212" t="s">
        <v>48</v>
      </c>
      <c r="L412" s="186" t="s">
        <v>182</v>
      </c>
      <c r="M412" s="69" t="str">
        <f>CapacityTable[[#This Row],[Model]]&amp;CapacityTable[[#This Row],[Type]]&amp;CapacityTable[[#This Row],[T ext]]&amp;CapacityTable[[#This Row],[T water out]]&amp;CapacityTable[[#This Row],[Results origin]]</f>
        <v>BLW Mono 6.1Best COP1050Simulation values</v>
      </c>
    </row>
    <row r="413" spans="1:13" x14ac:dyDescent="0.25">
      <c r="A413" t="s">
        <v>25</v>
      </c>
      <c r="B413" s="68" t="s">
        <v>156</v>
      </c>
      <c r="C413" s="92">
        <v>10</v>
      </c>
      <c r="D413" s="68">
        <v>60</v>
      </c>
      <c r="E413" s="69"/>
      <c r="F413" s="69"/>
      <c r="G413" s="69"/>
      <c r="H413" s="69"/>
      <c r="I413" s="69" t="s">
        <v>181</v>
      </c>
      <c r="J413" s="69" t="s">
        <v>38</v>
      </c>
      <c r="K413" s="212" t="s">
        <v>48</v>
      </c>
      <c r="L413" s="186" t="s">
        <v>182</v>
      </c>
      <c r="M413" s="69" t="str">
        <f>CapacityTable[[#This Row],[Model]]&amp;CapacityTable[[#This Row],[Type]]&amp;CapacityTable[[#This Row],[T ext]]&amp;CapacityTable[[#This Row],[T water out]]&amp;CapacityTable[[#This Row],[Results origin]]</f>
        <v>BLW Mono 9.1Best COP1060Simulation values</v>
      </c>
    </row>
    <row r="414" spans="1:13" x14ac:dyDescent="0.25">
      <c r="A414" t="s">
        <v>23</v>
      </c>
      <c r="B414" s="68" t="s">
        <v>156</v>
      </c>
      <c r="C414" s="92">
        <v>10</v>
      </c>
      <c r="D414" s="68">
        <v>60</v>
      </c>
      <c r="E414" s="69"/>
      <c r="F414" s="69"/>
      <c r="G414" s="69"/>
      <c r="H414" s="69"/>
      <c r="I414" s="69" t="s">
        <v>181</v>
      </c>
      <c r="J414" s="69" t="s">
        <v>38</v>
      </c>
      <c r="K414" s="212" t="s">
        <v>48</v>
      </c>
      <c r="L414" s="186" t="s">
        <v>182</v>
      </c>
      <c r="M414" s="69" t="str">
        <f>CapacityTable[[#This Row],[Model]]&amp;CapacityTable[[#This Row],[Type]]&amp;CapacityTable[[#This Row],[T ext]]&amp;CapacityTable[[#This Row],[T water out]]&amp;CapacityTable[[#This Row],[Results origin]]</f>
        <v>BLW Mono 6.1Best COP1060Simulation values</v>
      </c>
    </row>
    <row r="415" spans="1:13" x14ac:dyDescent="0.25">
      <c r="A415" t="s">
        <v>25</v>
      </c>
      <c r="B415" s="68" t="s">
        <v>156</v>
      </c>
      <c r="C415" s="92">
        <v>10</v>
      </c>
      <c r="D415" s="92">
        <v>65</v>
      </c>
      <c r="E415" s="69"/>
      <c r="F415" s="69"/>
      <c r="G415" s="69"/>
      <c r="H415" s="69"/>
      <c r="I415" s="69" t="s">
        <v>181</v>
      </c>
      <c r="J415" s="69" t="s">
        <v>38</v>
      </c>
      <c r="K415" s="212" t="s">
        <v>48</v>
      </c>
      <c r="L415" s="186" t="s">
        <v>182</v>
      </c>
      <c r="M415" s="69" t="str">
        <f>CapacityTable[[#This Row],[Model]]&amp;CapacityTable[[#This Row],[Type]]&amp;CapacityTable[[#This Row],[T ext]]&amp;CapacityTable[[#This Row],[T water out]]&amp;CapacityTable[[#This Row],[Results origin]]</f>
        <v>BLW Mono 9.1Best COP1065Simulation values</v>
      </c>
    </row>
    <row r="416" spans="1:13" x14ac:dyDescent="0.25">
      <c r="A416" t="s">
        <v>23</v>
      </c>
      <c r="B416" s="68" t="s">
        <v>156</v>
      </c>
      <c r="C416" s="92">
        <v>10</v>
      </c>
      <c r="D416" s="92">
        <v>65</v>
      </c>
      <c r="E416" s="69"/>
      <c r="F416" s="69"/>
      <c r="G416" s="69"/>
      <c r="H416" s="69"/>
      <c r="I416" s="69" t="s">
        <v>181</v>
      </c>
      <c r="J416" s="69" t="s">
        <v>38</v>
      </c>
      <c r="K416" s="212" t="s">
        <v>48</v>
      </c>
      <c r="L416" s="186" t="s">
        <v>182</v>
      </c>
      <c r="M416" s="69" t="str">
        <f>CapacityTable[[#This Row],[Model]]&amp;CapacityTable[[#This Row],[Type]]&amp;CapacityTable[[#This Row],[T ext]]&amp;CapacityTable[[#This Row],[T water out]]&amp;CapacityTable[[#This Row],[Results origin]]</f>
        <v>BLW Mono 6.1Best COP1065Simulation values</v>
      </c>
    </row>
    <row r="417" spans="1:13" x14ac:dyDescent="0.25">
      <c r="A417" t="s">
        <v>25</v>
      </c>
      <c r="B417" s="68" t="s">
        <v>156</v>
      </c>
      <c r="C417" s="92">
        <v>10</v>
      </c>
      <c r="D417" s="68">
        <v>70</v>
      </c>
      <c r="E417" s="69"/>
      <c r="F417" s="69"/>
      <c r="G417" s="69"/>
      <c r="H417" s="69"/>
      <c r="I417" s="69" t="s">
        <v>181</v>
      </c>
      <c r="J417" s="69" t="s">
        <v>38</v>
      </c>
      <c r="K417" s="212" t="s">
        <v>48</v>
      </c>
      <c r="L417" s="186" t="s">
        <v>182</v>
      </c>
      <c r="M417" s="69" t="str">
        <f>CapacityTable[[#This Row],[Model]]&amp;CapacityTable[[#This Row],[Type]]&amp;CapacityTable[[#This Row],[T ext]]&amp;CapacityTable[[#This Row],[T water out]]&amp;CapacityTable[[#This Row],[Results origin]]</f>
        <v>BLW Mono 9.1Best COP1070Simulation values</v>
      </c>
    </row>
    <row r="418" spans="1:13" x14ac:dyDescent="0.25">
      <c r="A418" t="s">
        <v>23</v>
      </c>
      <c r="B418" s="68" t="s">
        <v>156</v>
      </c>
      <c r="C418" s="92">
        <v>10</v>
      </c>
      <c r="D418" s="68">
        <v>70</v>
      </c>
      <c r="E418" s="69"/>
      <c r="F418" s="69"/>
      <c r="G418" s="69"/>
      <c r="H418" s="69"/>
      <c r="I418" s="69" t="s">
        <v>181</v>
      </c>
      <c r="J418" s="69" t="s">
        <v>38</v>
      </c>
      <c r="K418" s="212" t="s">
        <v>48</v>
      </c>
      <c r="L418" s="186" t="s">
        <v>182</v>
      </c>
      <c r="M418" s="69" t="str">
        <f>CapacityTable[[#This Row],[Model]]&amp;CapacityTable[[#This Row],[Type]]&amp;CapacityTable[[#This Row],[T ext]]&amp;CapacityTable[[#This Row],[T water out]]&amp;CapacityTable[[#This Row],[Results origin]]</f>
        <v>BLW Mono 6.1Best COP1070Simulation values</v>
      </c>
    </row>
    <row r="419" spans="1:13" x14ac:dyDescent="0.25">
      <c r="A419" t="s">
        <v>25</v>
      </c>
      <c r="B419" s="68" t="s">
        <v>156</v>
      </c>
      <c r="C419" s="92">
        <v>12</v>
      </c>
      <c r="D419" s="68">
        <v>25</v>
      </c>
      <c r="E419" s="69">
        <v>3.6198325395539901</v>
      </c>
      <c r="F419" s="69">
        <v>0.48462737372570452</v>
      </c>
      <c r="G419" s="69">
        <v>7.4693109300152498</v>
      </c>
      <c r="H419" s="69">
        <v>0.74999999999999878</v>
      </c>
      <c r="I419" s="69" t="s">
        <v>181</v>
      </c>
      <c r="J419" s="69" t="s">
        <v>38</v>
      </c>
      <c r="K419" s="212" t="s">
        <v>48</v>
      </c>
      <c r="L419" s="186" t="s">
        <v>182</v>
      </c>
      <c r="M419" s="69" t="str">
        <f>CapacityTable[[#This Row],[Model]]&amp;CapacityTable[[#This Row],[Type]]&amp;CapacityTable[[#This Row],[T ext]]&amp;CapacityTable[[#This Row],[T water out]]&amp;CapacityTable[[#This Row],[Results origin]]</f>
        <v>BLW Mono 9.1Best COP1225Simulation values</v>
      </c>
    </row>
    <row r="420" spans="1:13" x14ac:dyDescent="0.25">
      <c r="A420" t="s">
        <v>23</v>
      </c>
      <c r="B420" s="68" t="s">
        <v>156</v>
      </c>
      <c r="C420" s="92">
        <v>12</v>
      </c>
      <c r="D420" s="68">
        <v>25</v>
      </c>
      <c r="E420" s="69">
        <v>3.4308330092399002</v>
      </c>
      <c r="F420" s="69">
        <v>0.45249286530280536</v>
      </c>
      <c r="G420" s="69">
        <v>7.5820709503209702</v>
      </c>
      <c r="H420" s="69">
        <v>0.5951010854561688</v>
      </c>
      <c r="I420" s="69" t="s">
        <v>181</v>
      </c>
      <c r="J420" s="69" t="s">
        <v>38</v>
      </c>
      <c r="K420" s="212" t="s">
        <v>48</v>
      </c>
      <c r="L420" s="186" t="s">
        <v>182</v>
      </c>
      <c r="M420" s="69" t="str">
        <f>CapacityTable[[#This Row],[Model]]&amp;CapacityTable[[#This Row],[Type]]&amp;CapacityTable[[#This Row],[T ext]]&amp;CapacityTable[[#This Row],[T water out]]&amp;CapacityTable[[#This Row],[Results origin]]</f>
        <v>BLW Mono 6.1Best COP1225Simulation values</v>
      </c>
    </row>
    <row r="421" spans="1:13" x14ac:dyDescent="0.25">
      <c r="A421" t="s">
        <v>25</v>
      </c>
      <c r="B421" s="68" t="s">
        <v>156</v>
      </c>
      <c r="C421" s="92">
        <v>12</v>
      </c>
      <c r="D421" s="92">
        <v>35</v>
      </c>
      <c r="E421" s="69">
        <v>4.5222579485080194</v>
      </c>
      <c r="F421" s="69">
        <v>0.81208906634604872</v>
      </c>
      <c r="G421" s="69">
        <v>5.5686723734081003</v>
      </c>
      <c r="H421" s="69">
        <v>0.78687111975899038</v>
      </c>
      <c r="I421" s="69" t="s">
        <v>181</v>
      </c>
      <c r="J421" s="69" t="s">
        <v>38</v>
      </c>
      <c r="K421" s="212" t="s">
        <v>48</v>
      </c>
      <c r="L421" s="186" t="s">
        <v>182</v>
      </c>
      <c r="M421" s="69" t="str">
        <f>CapacityTable[[#This Row],[Model]]&amp;CapacityTable[[#This Row],[Type]]&amp;CapacityTable[[#This Row],[T ext]]&amp;CapacityTable[[#This Row],[T water out]]&amp;CapacityTable[[#This Row],[Results origin]]</f>
        <v>BLW Mono 9.1Best COP1235Simulation values</v>
      </c>
    </row>
    <row r="422" spans="1:13" x14ac:dyDescent="0.25">
      <c r="A422" t="s">
        <v>23</v>
      </c>
      <c r="B422" s="68" t="s">
        <v>156</v>
      </c>
      <c r="C422" s="92">
        <v>12</v>
      </c>
      <c r="D422" s="92">
        <v>35</v>
      </c>
      <c r="E422" s="69">
        <v>4.1216787749361998</v>
      </c>
      <c r="F422" s="69">
        <v>0.76439148696080783</v>
      </c>
      <c r="G422" s="69">
        <v>5.3921044978193597</v>
      </c>
      <c r="H422" s="69">
        <v>0.7168399381514664</v>
      </c>
      <c r="I422" s="69" t="s">
        <v>181</v>
      </c>
      <c r="J422" s="69" t="s">
        <v>38</v>
      </c>
      <c r="K422" s="212" t="s">
        <v>48</v>
      </c>
      <c r="L422" s="186" t="s">
        <v>182</v>
      </c>
      <c r="M422" s="69" t="str">
        <f>CapacityTable[[#This Row],[Model]]&amp;CapacityTable[[#This Row],[Type]]&amp;CapacityTable[[#This Row],[T ext]]&amp;CapacityTable[[#This Row],[T water out]]&amp;CapacityTable[[#This Row],[Results origin]]</f>
        <v>BLW Mono 6.1Best COP1235Simulation values</v>
      </c>
    </row>
    <row r="423" spans="1:13" x14ac:dyDescent="0.25">
      <c r="A423" t="s">
        <v>25</v>
      </c>
      <c r="B423" s="68" t="s">
        <v>156</v>
      </c>
      <c r="C423" s="92">
        <v>12</v>
      </c>
      <c r="D423" s="68">
        <v>40</v>
      </c>
      <c r="E423" s="69">
        <v>4.4122388237326504</v>
      </c>
      <c r="F423" s="69">
        <v>0.90919464472980382</v>
      </c>
      <c r="G423" s="69">
        <v>4.8529089445350699</v>
      </c>
      <c r="H423" s="69">
        <v>0.76916750000285528</v>
      </c>
      <c r="I423" s="69" t="s">
        <v>181</v>
      </c>
      <c r="J423" s="69" t="s">
        <v>38</v>
      </c>
      <c r="K423" s="212" t="s">
        <v>48</v>
      </c>
      <c r="L423" s="186" t="s">
        <v>182</v>
      </c>
      <c r="M423" s="69" t="str">
        <f>CapacityTable[[#This Row],[Model]]&amp;CapacityTable[[#This Row],[Type]]&amp;CapacityTable[[#This Row],[T ext]]&amp;CapacityTable[[#This Row],[T water out]]&amp;CapacityTable[[#This Row],[Results origin]]</f>
        <v>BLW Mono 9.1Best COP1240Simulation values</v>
      </c>
    </row>
    <row r="424" spans="1:13" x14ac:dyDescent="0.25">
      <c r="A424" t="s">
        <v>23</v>
      </c>
      <c r="B424" s="68" t="s">
        <v>156</v>
      </c>
      <c r="C424" s="92">
        <v>12</v>
      </c>
      <c r="D424" s="68">
        <v>40</v>
      </c>
      <c r="E424" s="69">
        <v>4.0243816425632595</v>
      </c>
      <c r="F424" s="69">
        <v>0.85191095684750728</v>
      </c>
      <c r="G424" s="69">
        <v>4.7239463352548796</v>
      </c>
      <c r="H424" s="69">
        <v>0.70124709603405599</v>
      </c>
      <c r="I424" s="69" t="s">
        <v>181</v>
      </c>
      <c r="J424" s="69" t="s">
        <v>38</v>
      </c>
      <c r="K424" s="212" t="s">
        <v>48</v>
      </c>
      <c r="L424" s="186" t="s">
        <v>182</v>
      </c>
      <c r="M424" s="69" t="str">
        <f>CapacityTable[[#This Row],[Model]]&amp;CapacityTable[[#This Row],[Type]]&amp;CapacityTable[[#This Row],[T ext]]&amp;CapacityTable[[#This Row],[T water out]]&amp;CapacityTable[[#This Row],[Results origin]]</f>
        <v>BLW Mono 6.1Best COP1240Simulation values</v>
      </c>
    </row>
    <row r="425" spans="1:13" x14ac:dyDescent="0.25">
      <c r="A425" t="s">
        <v>25</v>
      </c>
      <c r="B425" s="68" t="s">
        <v>156</v>
      </c>
      <c r="C425" s="92">
        <v>12</v>
      </c>
      <c r="D425" s="92">
        <v>45</v>
      </c>
      <c r="E425" s="69">
        <v>4.9658059709135998</v>
      </c>
      <c r="F425" s="69">
        <v>1.167118014522925</v>
      </c>
      <c r="G425" s="69">
        <v>4.2547590810201301</v>
      </c>
      <c r="H425" s="69">
        <v>0.86674422955538877</v>
      </c>
      <c r="I425" s="69" t="s">
        <v>181</v>
      </c>
      <c r="J425" s="69" t="s">
        <v>38</v>
      </c>
      <c r="K425" s="212" t="s">
        <v>48</v>
      </c>
      <c r="L425" s="186" t="s">
        <v>182</v>
      </c>
      <c r="M425" s="69" t="str">
        <f>CapacityTable[[#This Row],[Model]]&amp;CapacityTable[[#This Row],[Type]]&amp;CapacityTable[[#This Row],[T ext]]&amp;CapacityTable[[#This Row],[T water out]]&amp;CapacityTable[[#This Row],[Results origin]]</f>
        <v>BLW Mono 9.1Best COP1245Simulation values</v>
      </c>
    </row>
    <row r="426" spans="1:13" x14ac:dyDescent="0.25">
      <c r="A426" t="s">
        <v>23</v>
      </c>
      <c r="B426" s="68" t="s">
        <v>156</v>
      </c>
      <c r="C426" s="92">
        <v>12</v>
      </c>
      <c r="D426" s="92">
        <v>45</v>
      </c>
      <c r="E426" s="69">
        <v>3.9353816930842997</v>
      </c>
      <c r="F426" s="69">
        <v>0.94127155923293004</v>
      </c>
      <c r="G426" s="69">
        <v>4.1809206434446597</v>
      </c>
      <c r="H426" s="69">
        <v>0.68702951477010965</v>
      </c>
      <c r="I426" s="69" t="s">
        <v>181</v>
      </c>
      <c r="J426" s="69" t="s">
        <v>38</v>
      </c>
      <c r="K426" s="212" t="s">
        <v>48</v>
      </c>
      <c r="L426" s="186" t="s">
        <v>186</v>
      </c>
      <c r="M426" s="69" t="str">
        <f>CapacityTable[[#This Row],[Model]]&amp;CapacityTable[[#This Row],[Type]]&amp;CapacityTable[[#This Row],[T ext]]&amp;CapacityTable[[#This Row],[T water out]]&amp;CapacityTable[[#This Row],[Results origin]]</f>
        <v>BLW Mono 6.1Best COP1245Simulation values</v>
      </c>
    </row>
    <row r="427" spans="1:13" x14ac:dyDescent="0.25">
      <c r="A427" t="s">
        <v>25</v>
      </c>
      <c r="B427" s="68" t="s">
        <v>156</v>
      </c>
      <c r="C427" s="92">
        <v>12</v>
      </c>
      <c r="D427" s="68">
        <v>50</v>
      </c>
      <c r="E427" s="69">
        <v>6.1019394924142496</v>
      </c>
      <c r="F427" s="69">
        <v>1.6130945026462638</v>
      </c>
      <c r="G427" s="69">
        <v>3.7827538823076301</v>
      </c>
      <c r="H427" s="69">
        <v>0.74999999999999878</v>
      </c>
      <c r="I427" s="69" t="s">
        <v>181</v>
      </c>
      <c r="J427" s="69" t="s">
        <v>38</v>
      </c>
      <c r="K427" s="212" t="s">
        <v>48</v>
      </c>
      <c r="L427" s="186" t="s">
        <v>182</v>
      </c>
      <c r="M427" s="69" t="str">
        <f>CapacityTable[[#This Row],[Model]]&amp;CapacityTable[[#This Row],[Type]]&amp;CapacityTable[[#This Row],[T ext]]&amp;CapacityTable[[#This Row],[T water out]]&amp;CapacityTable[[#This Row],[Results origin]]</f>
        <v>BLW Mono 9.1Best COP1250Simulation values</v>
      </c>
    </row>
    <row r="428" spans="1:13" x14ac:dyDescent="0.25">
      <c r="A428" t="s">
        <v>23</v>
      </c>
      <c r="B428" s="68" t="s">
        <v>156</v>
      </c>
      <c r="C428" s="92">
        <v>12</v>
      </c>
      <c r="D428" s="68">
        <v>50</v>
      </c>
      <c r="E428" s="69">
        <v>4.3697537626957903</v>
      </c>
      <c r="F428" s="69">
        <v>1.1546379518537591</v>
      </c>
      <c r="G428" s="69">
        <v>3.78452289367433</v>
      </c>
      <c r="H428" s="69">
        <v>0.47670710796078841</v>
      </c>
      <c r="I428" s="69" t="s">
        <v>181</v>
      </c>
      <c r="J428" s="69" t="s">
        <v>38</v>
      </c>
      <c r="K428" s="212" t="s">
        <v>48</v>
      </c>
      <c r="L428" s="186" t="s">
        <v>182</v>
      </c>
      <c r="M428" s="69" t="str">
        <f>CapacityTable[[#This Row],[Model]]&amp;CapacityTable[[#This Row],[Type]]&amp;CapacityTable[[#This Row],[T ext]]&amp;CapacityTable[[#This Row],[T water out]]&amp;CapacityTable[[#This Row],[Results origin]]</f>
        <v>BLW Mono 6.1Best COP1250Simulation values</v>
      </c>
    </row>
    <row r="429" spans="1:13" x14ac:dyDescent="0.25">
      <c r="A429" t="s">
        <v>25</v>
      </c>
      <c r="B429" s="68" t="s">
        <v>156</v>
      </c>
      <c r="C429" s="92">
        <v>12</v>
      </c>
      <c r="D429" s="92">
        <v>55</v>
      </c>
      <c r="E429" s="69">
        <v>5.9508411442583098</v>
      </c>
      <c r="F429" s="69">
        <v>1.7738888783616451</v>
      </c>
      <c r="G429" s="69">
        <v>3.3546865403172701</v>
      </c>
      <c r="H429" s="69">
        <v>0.74999999999999878</v>
      </c>
      <c r="I429" s="69" t="s">
        <v>181</v>
      </c>
      <c r="J429" s="69" t="s">
        <v>38</v>
      </c>
      <c r="K429" s="212" t="s">
        <v>48</v>
      </c>
      <c r="L429" s="186" t="s">
        <v>186</v>
      </c>
      <c r="M429" s="69" t="str">
        <f>CapacityTable[[#This Row],[Model]]&amp;CapacityTable[[#This Row],[Type]]&amp;CapacityTable[[#This Row],[T ext]]&amp;CapacityTable[[#This Row],[T water out]]&amp;CapacityTable[[#This Row],[Results origin]]</f>
        <v>BLW Mono 9.1Best COP1255Simulation values</v>
      </c>
    </row>
    <row r="430" spans="1:13" x14ac:dyDescent="0.25">
      <c r="A430" t="s">
        <v>23</v>
      </c>
      <c r="B430" s="68" t="s">
        <v>156</v>
      </c>
      <c r="C430" s="92">
        <v>12</v>
      </c>
      <c r="D430" s="92">
        <v>55</v>
      </c>
      <c r="E430" s="69">
        <v>4.26232836001099</v>
      </c>
      <c r="F430" s="69">
        <v>1.2625468176350572</v>
      </c>
      <c r="G430" s="69">
        <v>3.3759764790306801</v>
      </c>
      <c r="H430" s="69">
        <v>0.46582366130802361</v>
      </c>
      <c r="I430" s="69" t="s">
        <v>181</v>
      </c>
      <c r="J430" s="69" t="s">
        <v>38</v>
      </c>
      <c r="K430" s="212" t="s">
        <v>48</v>
      </c>
      <c r="L430" s="186" t="s">
        <v>186</v>
      </c>
      <c r="M430" s="69" t="str">
        <f>CapacityTable[[#This Row],[Model]]&amp;CapacityTable[[#This Row],[Type]]&amp;CapacityTable[[#This Row],[T ext]]&amp;CapacityTable[[#This Row],[T water out]]&amp;CapacityTable[[#This Row],[Results origin]]</f>
        <v>BLW Mono 6.1Best COP1255Simulation values</v>
      </c>
    </row>
    <row r="431" spans="1:13" x14ac:dyDescent="0.25">
      <c r="A431" t="s">
        <v>25</v>
      </c>
      <c r="B431" s="68" t="s">
        <v>165</v>
      </c>
      <c r="C431" s="92">
        <v>20</v>
      </c>
      <c r="D431" s="68">
        <v>60</v>
      </c>
      <c r="E431" s="69">
        <v>10.775544880517812</v>
      </c>
      <c r="F431" s="69">
        <v>3.6665802355826722</v>
      </c>
      <c r="G431" s="69">
        <v>2.9388542424206414</v>
      </c>
      <c r="H431" s="69">
        <v>0.94110778655864369</v>
      </c>
      <c r="I431" s="69" t="s">
        <v>181</v>
      </c>
      <c r="J431" s="69" t="s">
        <v>38</v>
      </c>
      <c r="K431" s="212" t="s">
        <v>48</v>
      </c>
      <c r="L431" s="186" t="s">
        <v>182</v>
      </c>
      <c r="M431" s="69" t="str">
        <f>CapacityTable[[#This Row],[Model]]&amp;CapacityTable[[#This Row],[Type]]&amp;CapacityTable[[#This Row],[T ext]]&amp;CapacityTable[[#This Row],[T water out]]&amp;CapacityTable[[#This Row],[Results origin]]</f>
        <v>BLW Mono 9.1Max power2060Simulation values</v>
      </c>
    </row>
    <row r="432" spans="1:13" x14ac:dyDescent="0.25">
      <c r="A432" t="s">
        <v>25</v>
      </c>
      <c r="B432" s="68" t="s">
        <v>166</v>
      </c>
      <c r="C432" s="92">
        <v>-7</v>
      </c>
      <c r="D432" s="68">
        <v>40</v>
      </c>
      <c r="E432" s="69">
        <v>2.2554322719187199</v>
      </c>
      <c r="F432" s="69">
        <v>0.82567289898066976</v>
      </c>
      <c r="G432" s="69">
        <v>2.7316292864924501</v>
      </c>
      <c r="H432" s="69">
        <v>0.74999999999999878</v>
      </c>
      <c r="I432" s="69" t="s">
        <v>181</v>
      </c>
      <c r="J432" s="69" t="s">
        <v>38</v>
      </c>
      <c r="K432" s="212" t="s">
        <v>48</v>
      </c>
      <c r="L432" s="186" t="s">
        <v>182</v>
      </c>
      <c r="M432" s="69" t="str">
        <f>CapacityTable[[#This Row],[Model]]&amp;CapacityTable[[#This Row],[Type]]&amp;CapacityTable[[#This Row],[T ext]]&amp;CapacityTable[[#This Row],[T water out]]&amp;CapacityTable[[#This Row],[Results origin]]</f>
        <v>BLW Mono 9.1Min power-740Simulation values</v>
      </c>
    </row>
    <row r="433" spans="1:13" x14ac:dyDescent="0.25">
      <c r="A433" t="s">
        <v>25</v>
      </c>
      <c r="B433" s="68" t="s">
        <v>166</v>
      </c>
      <c r="C433" s="92">
        <v>-7</v>
      </c>
      <c r="D433" s="68">
        <v>45</v>
      </c>
      <c r="E433" s="69">
        <v>2.21232767485533</v>
      </c>
      <c r="F433" s="69">
        <v>0.90347424503555418</v>
      </c>
      <c r="G433" s="69">
        <v>2.4486892537465401</v>
      </c>
      <c r="H433" s="69">
        <v>0.74999999999999878</v>
      </c>
      <c r="I433" s="69" t="s">
        <v>181</v>
      </c>
      <c r="J433" s="69" t="s">
        <v>38</v>
      </c>
      <c r="K433" s="213" t="s">
        <v>183</v>
      </c>
      <c r="L433" s="69" t="s">
        <v>184</v>
      </c>
      <c r="M433" s="69" t="str">
        <f>CapacityTable[[#This Row],[Model]]&amp;CapacityTable[[#This Row],[Type]]&amp;CapacityTable[[#This Row],[T ext]]&amp;CapacityTable[[#This Row],[T water out]]&amp;CapacityTable[[#This Row],[Results origin]]</f>
        <v>BLW Mono 9.1Min power-745Simulation values</v>
      </c>
    </row>
    <row r="434" spans="1:13" x14ac:dyDescent="0.25">
      <c r="A434" t="s">
        <v>23</v>
      </c>
      <c r="B434" s="68" t="s">
        <v>156</v>
      </c>
      <c r="C434" s="92">
        <v>12</v>
      </c>
      <c r="D434" s="68">
        <v>60</v>
      </c>
      <c r="E434" s="69">
        <v>4.6259550900377295</v>
      </c>
      <c r="F434" s="69">
        <v>1.5260646758276795</v>
      </c>
      <c r="G434" s="69">
        <v>3.03129687968748</v>
      </c>
      <c r="H434" s="69">
        <v>0.432</v>
      </c>
      <c r="I434" s="69" t="s">
        <v>181</v>
      </c>
      <c r="J434" s="69" t="s">
        <v>38</v>
      </c>
      <c r="K434" s="212" t="s">
        <v>48</v>
      </c>
      <c r="L434" s="186" t="s">
        <v>182</v>
      </c>
      <c r="M434" s="69" t="str">
        <f>CapacityTable[[#This Row],[Model]]&amp;CapacityTable[[#This Row],[Type]]&amp;CapacityTable[[#This Row],[T ext]]&amp;CapacityTable[[#This Row],[T water out]]&amp;CapacityTable[[#This Row],[Results origin]]</f>
        <v>BLW Mono 6.1Best COP1260Simulation values</v>
      </c>
    </row>
    <row r="435" spans="1:13" x14ac:dyDescent="0.25">
      <c r="A435" t="s">
        <v>25</v>
      </c>
      <c r="B435" s="68" t="s">
        <v>156</v>
      </c>
      <c r="C435" s="92">
        <v>12</v>
      </c>
      <c r="D435" s="68">
        <v>60</v>
      </c>
      <c r="E435" s="69">
        <v>6.5165519535851804</v>
      </c>
      <c r="F435" s="69">
        <v>2.1807234732677885</v>
      </c>
      <c r="G435" s="69">
        <v>2.9882523086800199</v>
      </c>
      <c r="H435" s="69">
        <v>0.74999999999999878</v>
      </c>
      <c r="I435" s="69" t="s">
        <v>181</v>
      </c>
      <c r="J435" s="69" t="s">
        <v>38</v>
      </c>
      <c r="K435" s="212" t="s">
        <v>48</v>
      </c>
      <c r="L435" s="186" t="s">
        <v>182</v>
      </c>
      <c r="M435" s="69" t="str">
        <f>CapacityTable[[#This Row],[Model]]&amp;CapacityTable[[#This Row],[Type]]&amp;CapacityTable[[#This Row],[T ext]]&amp;CapacityTable[[#This Row],[T water out]]&amp;CapacityTable[[#This Row],[Results origin]]</f>
        <v>BLW Mono 9.1Best COP1260Simulation values</v>
      </c>
    </row>
    <row r="436" spans="1:13" x14ac:dyDescent="0.25">
      <c r="A436" t="s">
        <v>23</v>
      </c>
      <c r="B436" s="68" t="s">
        <v>156</v>
      </c>
      <c r="C436" s="92">
        <v>12</v>
      </c>
      <c r="D436" s="92">
        <v>65</v>
      </c>
      <c r="E436" s="69">
        <v>4.94682413683985</v>
      </c>
      <c r="F436" s="69">
        <v>1.8306026490070857</v>
      </c>
      <c r="G436" s="69">
        <v>2.7022926791474902</v>
      </c>
      <c r="H436" s="69">
        <v>0.4333744586541024</v>
      </c>
      <c r="I436" s="69" t="s">
        <v>181</v>
      </c>
      <c r="J436" s="69" t="s">
        <v>38</v>
      </c>
      <c r="K436" s="212" t="s">
        <v>48</v>
      </c>
      <c r="L436" s="186" t="s">
        <v>182</v>
      </c>
      <c r="M436" s="69" t="str">
        <f>CapacityTable[[#This Row],[Model]]&amp;CapacityTable[[#This Row],[Type]]&amp;CapacityTable[[#This Row],[T ext]]&amp;CapacityTable[[#This Row],[T water out]]&amp;CapacityTable[[#This Row],[Results origin]]</f>
        <v>BLW Mono 6.1Best COP1265Simulation values</v>
      </c>
    </row>
    <row r="437" spans="1:13" x14ac:dyDescent="0.25">
      <c r="A437" t="s">
        <v>25</v>
      </c>
      <c r="B437" s="68" t="s">
        <v>156</v>
      </c>
      <c r="C437" s="92">
        <v>12</v>
      </c>
      <c r="D437" s="92">
        <v>65</v>
      </c>
      <c r="E437" s="69">
        <v>6.3585965830380005</v>
      </c>
      <c r="F437" s="69">
        <v>2.3773118537695002</v>
      </c>
      <c r="G437" s="69">
        <v>2.6747002388246699</v>
      </c>
      <c r="H437" s="69">
        <v>0.74999999999999878</v>
      </c>
      <c r="I437" s="69" t="s">
        <v>181</v>
      </c>
      <c r="J437" s="69" t="s">
        <v>38</v>
      </c>
      <c r="K437" s="212" t="s">
        <v>48</v>
      </c>
      <c r="L437" s="186" t="s">
        <v>182</v>
      </c>
      <c r="M437" s="69" t="str">
        <f>CapacityTable[[#This Row],[Model]]&amp;CapacityTable[[#This Row],[Type]]&amp;CapacityTable[[#This Row],[T ext]]&amp;CapacityTable[[#This Row],[T water out]]&amp;CapacityTable[[#This Row],[Results origin]]</f>
        <v>BLW Mono 9.1Best COP1265Simulation values</v>
      </c>
    </row>
    <row r="438" spans="1:13" x14ac:dyDescent="0.25">
      <c r="A438" t="s">
        <v>23</v>
      </c>
      <c r="B438" s="68" t="s">
        <v>156</v>
      </c>
      <c r="C438" s="92">
        <v>12</v>
      </c>
      <c r="D438" s="68">
        <v>70</v>
      </c>
      <c r="E438" s="69">
        <v>4.7848584379633605</v>
      </c>
      <c r="F438" s="69">
        <v>1.9874710301431107</v>
      </c>
      <c r="G438" s="69">
        <v>2.4075110355791298</v>
      </c>
      <c r="H438" s="69">
        <v>0.432</v>
      </c>
      <c r="I438" s="69" t="s">
        <v>181</v>
      </c>
      <c r="J438" s="69" t="s">
        <v>38</v>
      </c>
      <c r="K438" s="212" t="s">
        <v>48</v>
      </c>
      <c r="L438" s="186" t="s">
        <v>182</v>
      </c>
      <c r="M438" s="69" t="str">
        <f>CapacityTable[[#This Row],[Model]]&amp;CapacityTable[[#This Row],[Type]]&amp;CapacityTable[[#This Row],[T ext]]&amp;CapacityTable[[#This Row],[T water out]]&amp;CapacityTable[[#This Row],[Results origin]]</f>
        <v>BLW Mono 6.1Best COP1270Simulation values</v>
      </c>
    </row>
    <row r="439" spans="1:13" x14ac:dyDescent="0.25">
      <c r="A439" t="s">
        <v>25</v>
      </c>
      <c r="B439" s="68" t="s">
        <v>156</v>
      </c>
      <c r="C439" s="92">
        <v>12</v>
      </c>
      <c r="D439" s="68">
        <v>70</v>
      </c>
      <c r="E439" s="69">
        <v>6.2005184734365404</v>
      </c>
      <c r="F439" s="69">
        <v>2.5849883182658213</v>
      </c>
      <c r="G439" s="69">
        <v>2.3986640208866601</v>
      </c>
      <c r="H439" s="69">
        <v>0.74999999999999878</v>
      </c>
      <c r="I439" s="69" t="s">
        <v>181</v>
      </c>
      <c r="J439" s="69" t="s">
        <v>38</v>
      </c>
      <c r="K439" s="212" t="s">
        <v>48</v>
      </c>
      <c r="L439" s="186" t="s">
        <v>182</v>
      </c>
      <c r="M439" s="69" t="str">
        <f>CapacityTable[[#This Row],[Model]]&amp;CapacityTable[[#This Row],[Type]]&amp;CapacityTable[[#This Row],[T ext]]&amp;CapacityTable[[#This Row],[T water out]]&amp;CapacityTable[[#This Row],[Results origin]]</f>
        <v>BLW Mono 9.1Best COP1270Simulation values</v>
      </c>
    </row>
    <row r="440" spans="1:13" x14ac:dyDescent="0.25">
      <c r="A440" t="s">
        <v>23</v>
      </c>
      <c r="B440" s="68" t="s">
        <v>156</v>
      </c>
      <c r="C440" s="92">
        <v>15</v>
      </c>
      <c r="D440" s="68">
        <v>25</v>
      </c>
      <c r="E440" s="69">
        <v>2.8450895068306599</v>
      </c>
      <c r="F440" s="69">
        <v>0.32865124791792488</v>
      </c>
      <c r="G440" s="69">
        <v>8.6568650654908605</v>
      </c>
      <c r="H440" s="69">
        <v>0.49391069368920476</v>
      </c>
      <c r="I440" s="69" t="s">
        <v>181</v>
      </c>
      <c r="J440" s="69" t="s">
        <v>38</v>
      </c>
      <c r="K440" s="212" t="s">
        <v>48</v>
      </c>
      <c r="L440" s="186" t="s">
        <v>182</v>
      </c>
      <c r="M440" s="69" t="str">
        <f>CapacityTable[[#This Row],[Model]]&amp;CapacityTable[[#This Row],[Type]]&amp;CapacityTable[[#This Row],[T ext]]&amp;CapacityTable[[#This Row],[T water out]]&amp;CapacityTable[[#This Row],[Results origin]]</f>
        <v>BLW Mono 6.1Best COP1525Simulation values</v>
      </c>
    </row>
    <row r="441" spans="1:13" x14ac:dyDescent="0.25">
      <c r="A441" t="s">
        <v>25</v>
      </c>
      <c r="B441" s="68" t="s">
        <v>156</v>
      </c>
      <c r="C441" s="92">
        <v>15</v>
      </c>
      <c r="D441" s="68">
        <v>25</v>
      </c>
      <c r="E441" s="69">
        <v>3.9179059117451804</v>
      </c>
      <c r="F441" s="69">
        <v>0.48150527950436439</v>
      </c>
      <c r="G441" s="69">
        <v>8.1367870270873492</v>
      </c>
      <c r="H441" s="69">
        <v>0.74999999999999878</v>
      </c>
      <c r="I441" s="69" t="s">
        <v>181</v>
      </c>
      <c r="J441" s="69" t="s">
        <v>38</v>
      </c>
      <c r="K441" s="212" t="s">
        <v>48</v>
      </c>
      <c r="L441" s="186" t="s">
        <v>182</v>
      </c>
      <c r="M441" s="69" t="str">
        <f>CapacityTable[[#This Row],[Model]]&amp;CapacityTable[[#This Row],[Type]]&amp;CapacityTable[[#This Row],[T ext]]&amp;CapacityTable[[#This Row],[T water out]]&amp;CapacityTable[[#This Row],[Results origin]]</f>
        <v>BLW Mono 9.1Best COP1525Simulation values</v>
      </c>
    </row>
    <row r="442" spans="1:13" x14ac:dyDescent="0.25">
      <c r="A442" t="s">
        <v>23</v>
      </c>
      <c r="B442" s="68" t="s">
        <v>156</v>
      </c>
      <c r="C442" s="92">
        <v>15</v>
      </c>
      <c r="D442" s="68">
        <v>35</v>
      </c>
      <c r="E442" s="69">
        <v>3.9091148051452302</v>
      </c>
      <c r="F442" s="69">
        <v>0.65540390296652495</v>
      </c>
      <c r="G442" s="69">
        <v>5.9644362620539502</v>
      </c>
      <c r="H442" s="69">
        <v>0.68007355617066845</v>
      </c>
      <c r="I442" s="69" t="s">
        <v>181</v>
      </c>
      <c r="J442" s="69" t="s">
        <v>38</v>
      </c>
      <c r="K442" s="212" t="s">
        <v>48</v>
      </c>
      <c r="L442" s="186" t="s">
        <v>182</v>
      </c>
      <c r="M442" s="69" t="str">
        <f>CapacityTable[[#This Row],[Model]]&amp;CapacityTable[[#This Row],[Type]]&amp;CapacityTable[[#This Row],[T ext]]&amp;CapacityTable[[#This Row],[T water out]]&amp;CapacityTable[[#This Row],[Results origin]]</f>
        <v>BLW Mono 6.1Best COP1535Simulation values</v>
      </c>
    </row>
    <row r="443" spans="1:13" x14ac:dyDescent="0.25">
      <c r="A443" t="s">
        <v>25</v>
      </c>
      <c r="B443" s="68" t="s">
        <v>156</v>
      </c>
      <c r="C443" s="92">
        <v>15</v>
      </c>
      <c r="D443" s="68">
        <v>35</v>
      </c>
      <c r="E443" s="69">
        <v>3.7330738112254398</v>
      </c>
      <c r="F443" s="69">
        <v>0.61501517966839514</v>
      </c>
      <c r="G443" s="69">
        <v>6.0698888980890597</v>
      </c>
      <c r="H443" s="69">
        <v>0.74999999999999878</v>
      </c>
      <c r="I443" s="69" t="s">
        <v>181</v>
      </c>
      <c r="J443" s="69" t="s">
        <v>38</v>
      </c>
      <c r="K443" s="212" t="s">
        <v>48</v>
      </c>
      <c r="L443" s="186" t="s">
        <v>182</v>
      </c>
      <c r="M443" s="69" t="str">
        <f>CapacityTable[[#This Row],[Model]]&amp;CapacityTable[[#This Row],[Type]]&amp;CapacityTable[[#This Row],[T ext]]&amp;CapacityTable[[#This Row],[T water out]]&amp;CapacityTable[[#This Row],[Results origin]]</f>
        <v>BLW Mono 9.1Best COP1535Simulation values</v>
      </c>
    </row>
    <row r="444" spans="1:13" x14ac:dyDescent="0.25">
      <c r="A444" t="s">
        <v>23</v>
      </c>
      <c r="B444" s="68" t="s">
        <v>166</v>
      </c>
      <c r="C444" s="92">
        <v>20</v>
      </c>
      <c r="D444" s="68">
        <v>65</v>
      </c>
      <c r="E444" s="69">
        <v>3.7560656031178601</v>
      </c>
      <c r="F444" s="69">
        <v>1.2101338654698119</v>
      </c>
      <c r="G444" s="69">
        <v>3.1038430625686502</v>
      </c>
      <c r="H444" s="69">
        <v>0.432</v>
      </c>
      <c r="I444" s="69" t="s">
        <v>181</v>
      </c>
      <c r="J444" s="69" t="s">
        <v>38</v>
      </c>
      <c r="K444" s="212" t="s">
        <v>48</v>
      </c>
      <c r="L444" s="69"/>
      <c r="M444" s="69" t="str">
        <f>CapacityTable[[#This Row],[Model]]&amp;CapacityTable[[#This Row],[Type]]&amp;CapacityTable[[#This Row],[T ext]]&amp;CapacityTable[[#This Row],[T water out]]&amp;CapacityTable[[#This Row],[Results origin]]</f>
        <v>BLW Mono 6.1Min power2065Simulation values</v>
      </c>
    </row>
    <row r="445" spans="1:13" x14ac:dyDescent="0.25">
      <c r="A445" t="s">
        <v>23</v>
      </c>
      <c r="B445" s="68" t="s">
        <v>166</v>
      </c>
      <c r="C445" s="92">
        <v>20</v>
      </c>
      <c r="D445" s="68">
        <v>70</v>
      </c>
      <c r="E445" s="69">
        <v>3.63026674948946</v>
      </c>
      <c r="F445" s="69">
        <v>1.3406246399051658</v>
      </c>
      <c r="G445" s="69">
        <v>2.7078920090162302</v>
      </c>
      <c r="H445" s="69">
        <v>0.432</v>
      </c>
      <c r="I445" s="69" t="s">
        <v>181</v>
      </c>
      <c r="J445" s="69" t="s">
        <v>38</v>
      </c>
      <c r="K445" s="212" t="s">
        <v>48</v>
      </c>
      <c r="L445" s="186"/>
      <c r="M445" s="69" t="str">
        <f>CapacityTable[[#This Row],[Model]]&amp;CapacityTable[[#This Row],[Type]]&amp;CapacityTable[[#This Row],[T ext]]&amp;CapacityTable[[#This Row],[T water out]]&amp;CapacityTable[[#This Row],[Results origin]]</f>
        <v>BLW Mono 6.1Min power2070Simulation values</v>
      </c>
    </row>
    <row r="446" spans="1:13" x14ac:dyDescent="0.25">
      <c r="A446" t="s">
        <v>23</v>
      </c>
      <c r="B446" s="68" t="s">
        <v>156</v>
      </c>
      <c r="C446" s="92">
        <v>15</v>
      </c>
      <c r="D446" s="68">
        <v>40</v>
      </c>
      <c r="E446" s="69">
        <v>3.8169918432743302</v>
      </c>
      <c r="F446" s="69">
        <v>0.73628094672046385</v>
      </c>
      <c r="G446" s="69">
        <v>5.1841513219592903</v>
      </c>
      <c r="H446" s="69">
        <v>0.66530231553776398</v>
      </c>
      <c r="I446" s="69" t="s">
        <v>181</v>
      </c>
      <c r="J446" s="69" t="s">
        <v>38</v>
      </c>
      <c r="K446" s="212" t="s">
        <v>48</v>
      </c>
      <c r="L446" s="186" t="s">
        <v>182</v>
      </c>
      <c r="M446" s="69" t="str">
        <f>CapacityTable[[#This Row],[Model]]&amp;CapacityTable[[#This Row],[Type]]&amp;CapacityTable[[#This Row],[T ext]]&amp;CapacityTable[[#This Row],[T water out]]&amp;CapacityTable[[#This Row],[Results origin]]</f>
        <v>BLW Mono 6.1Best COP1540Simulation values</v>
      </c>
    </row>
    <row r="447" spans="1:13" x14ac:dyDescent="0.25">
      <c r="A447" t="s">
        <v>25</v>
      </c>
      <c r="B447" s="68" t="s">
        <v>156</v>
      </c>
      <c r="C447" s="92">
        <v>15</v>
      </c>
      <c r="D447" s="68">
        <v>40</v>
      </c>
      <c r="E447" s="69">
        <v>3.6423523714564898</v>
      </c>
      <c r="F447" s="69">
        <v>0.69605625178797792</v>
      </c>
      <c r="G447" s="69">
        <v>5.2328419751999702</v>
      </c>
      <c r="H447" s="69">
        <v>0.74999999999999878</v>
      </c>
      <c r="I447" s="69" t="s">
        <v>181</v>
      </c>
      <c r="J447" s="69" t="s">
        <v>38</v>
      </c>
      <c r="K447" s="212" t="s">
        <v>48</v>
      </c>
      <c r="L447" s="186" t="s">
        <v>182</v>
      </c>
      <c r="M447" s="69" t="str">
        <f>CapacityTable[[#This Row],[Model]]&amp;CapacityTable[[#This Row],[Type]]&amp;CapacityTable[[#This Row],[T ext]]&amp;CapacityTable[[#This Row],[T water out]]&amp;CapacityTable[[#This Row],[Results origin]]</f>
        <v>BLW Mono 9.1Best COP1540Simulation values</v>
      </c>
    </row>
    <row r="448" spans="1:13" x14ac:dyDescent="0.25">
      <c r="A448" t="s">
        <v>23</v>
      </c>
      <c r="B448" s="68" t="s">
        <v>156</v>
      </c>
      <c r="C448" s="92">
        <v>15</v>
      </c>
      <c r="D448" s="68">
        <v>45</v>
      </c>
      <c r="E448" s="69">
        <v>3.7330581664696201</v>
      </c>
      <c r="F448" s="69">
        <v>0.81904433049332037</v>
      </c>
      <c r="G448" s="69">
        <v>4.5578218754303004</v>
      </c>
      <c r="H448" s="69">
        <v>0.65189340607233248</v>
      </c>
      <c r="I448" s="69" t="s">
        <v>181</v>
      </c>
      <c r="J448" s="69" t="s">
        <v>38</v>
      </c>
      <c r="K448" s="212" t="s">
        <v>48</v>
      </c>
      <c r="L448" s="186" t="s">
        <v>186</v>
      </c>
      <c r="M448" s="69" t="str">
        <f>CapacityTable[[#This Row],[Model]]&amp;CapacityTable[[#This Row],[Type]]&amp;CapacityTable[[#This Row],[T ext]]&amp;CapacityTable[[#This Row],[T water out]]&amp;CapacityTable[[#This Row],[Results origin]]</f>
        <v>BLW Mono 6.1Best COP1545Simulation values</v>
      </c>
    </row>
    <row r="449" spans="1:13" x14ac:dyDescent="0.25">
      <c r="A449" t="s">
        <v>25</v>
      </c>
      <c r="B449" s="68" t="s">
        <v>156</v>
      </c>
      <c r="C449" s="92">
        <v>15</v>
      </c>
      <c r="D449" s="68">
        <v>45</v>
      </c>
      <c r="E449" s="69">
        <v>4.0856367200334995</v>
      </c>
      <c r="F449" s="69">
        <v>0.90064935286764736</v>
      </c>
      <c r="G449" s="69">
        <v>4.53632338381738</v>
      </c>
      <c r="H449" s="69">
        <v>0.74999999999999878</v>
      </c>
      <c r="I449" s="69" t="s">
        <v>181</v>
      </c>
      <c r="J449" s="69" t="s">
        <v>38</v>
      </c>
      <c r="K449" s="212" t="s">
        <v>48</v>
      </c>
      <c r="L449" s="186" t="s">
        <v>182</v>
      </c>
      <c r="M449" s="69" t="str">
        <f>CapacityTable[[#This Row],[Model]]&amp;CapacityTable[[#This Row],[Type]]&amp;CapacityTable[[#This Row],[T ext]]&amp;CapacityTable[[#This Row],[T water out]]&amp;CapacityTable[[#This Row],[Results origin]]</f>
        <v>BLW Mono 9.1Best COP1545Simulation values</v>
      </c>
    </row>
    <row r="450" spans="1:13" x14ac:dyDescent="0.25">
      <c r="A450" t="s">
        <v>23</v>
      </c>
      <c r="B450" s="68" t="s">
        <v>156</v>
      </c>
      <c r="C450" s="92">
        <v>15</v>
      </c>
      <c r="D450" s="68">
        <v>50</v>
      </c>
      <c r="E450" s="69">
        <v>4.1706332703637496</v>
      </c>
      <c r="F450" s="69">
        <v>1.0160610399219692</v>
      </c>
      <c r="G450" s="69">
        <v>4.1047074009294198</v>
      </c>
      <c r="H450" s="69">
        <v>0.45503999002907281</v>
      </c>
      <c r="I450" s="69" t="s">
        <v>181</v>
      </c>
      <c r="J450" s="69" t="s">
        <v>38</v>
      </c>
      <c r="K450" s="212" t="s">
        <v>48</v>
      </c>
      <c r="L450" s="186" t="s">
        <v>182</v>
      </c>
      <c r="M450" s="69" t="str">
        <f>CapacityTable[[#This Row],[Model]]&amp;CapacityTable[[#This Row],[Type]]&amp;CapacityTable[[#This Row],[T ext]]&amp;CapacityTable[[#This Row],[T water out]]&amp;CapacityTable[[#This Row],[Results origin]]</f>
        <v>BLW Mono 6.1Best COP1550Simulation values</v>
      </c>
    </row>
    <row r="451" spans="1:13" x14ac:dyDescent="0.25">
      <c r="A451" t="s">
        <v>25</v>
      </c>
      <c r="B451" s="68" t="s">
        <v>156</v>
      </c>
      <c r="C451" s="92">
        <v>15</v>
      </c>
      <c r="D451" s="68">
        <v>50</v>
      </c>
      <c r="E451" s="69">
        <v>4.4909964305359695</v>
      </c>
      <c r="F451" s="69">
        <v>1.1321293309319231</v>
      </c>
      <c r="G451" s="69">
        <v>3.96685812109396</v>
      </c>
      <c r="H451" s="69">
        <v>0.74999999999999878</v>
      </c>
      <c r="I451" s="69" t="s">
        <v>181</v>
      </c>
      <c r="J451" s="69" t="s">
        <v>38</v>
      </c>
      <c r="K451" s="212" t="s">
        <v>48</v>
      </c>
      <c r="L451" s="186" t="s">
        <v>182</v>
      </c>
      <c r="M451" s="69" t="str">
        <f>CapacityTable[[#This Row],[Model]]&amp;CapacityTable[[#This Row],[Type]]&amp;CapacityTable[[#This Row],[T ext]]&amp;CapacityTable[[#This Row],[T water out]]&amp;CapacityTable[[#This Row],[Results origin]]</f>
        <v>BLW Mono 9.1Best COP1550Simulation values</v>
      </c>
    </row>
    <row r="452" spans="1:13" x14ac:dyDescent="0.25">
      <c r="A452" t="s">
        <v>23</v>
      </c>
      <c r="B452" s="68" t="s">
        <v>156</v>
      </c>
      <c r="C452" s="92">
        <v>15</v>
      </c>
      <c r="D452" s="68">
        <v>55</v>
      </c>
      <c r="E452" s="69">
        <v>4.0704018314353894</v>
      </c>
      <c r="F452" s="69">
        <v>1.1171412074649085</v>
      </c>
      <c r="G452" s="69">
        <v>3.6435875825153898</v>
      </c>
      <c r="H452" s="69">
        <v>0.44490127616435882</v>
      </c>
      <c r="I452" s="69" t="s">
        <v>181</v>
      </c>
      <c r="J452" s="69" t="s">
        <v>38</v>
      </c>
      <c r="K452" s="212" t="s">
        <v>48</v>
      </c>
      <c r="L452" s="186" t="s">
        <v>186</v>
      </c>
      <c r="M452" s="69" t="str">
        <f>CapacityTable[[#This Row],[Model]]&amp;CapacityTable[[#This Row],[Type]]&amp;CapacityTable[[#This Row],[T ext]]&amp;CapacityTable[[#This Row],[T water out]]&amp;CapacityTable[[#This Row],[Results origin]]</f>
        <v>BLW Mono 6.1Best COP1555Simulation values</v>
      </c>
    </row>
    <row r="453" spans="1:13" x14ac:dyDescent="0.25">
      <c r="A453" t="s">
        <v>25</v>
      </c>
      <c r="B453" s="68" t="s">
        <v>156</v>
      </c>
      <c r="C453" s="92">
        <v>15</v>
      </c>
      <c r="D453" s="68">
        <v>55</v>
      </c>
      <c r="E453" s="69">
        <v>5.0160701273208996</v>
      </c>
      <c r="F453" s="69">
        <v>1.4353581376901949</v>
      </c>
      <c r="G453" s="69">
        <v>3.49464708187244</v>
      </c>
      <c r="H453" s="69">
        <v>0.74999999999999878</v>
      </c>
      <c r="I453" s="69" t="s">
        <v>181</v>
      </c>
      <c r="J453" s="69" t="s">
        <v>38</v>
      </c>
      <c r="K453" s="212" t="s">
        <v>48</v>
      </c>
      <c r="L453" s="186" t="s">
        <v>186</v>
      </c>
      <c r="M453" s="69" t="str">
        <f>CapacityTable[[#This Row],[Model]]&amp;CapacityTable[[#This Row],[Type]]&amp;CapacityTable[[#This Row],[T ext]]&amp;CapacityTable[[#This Row],[T water out]]&amp;CapacityTable[[#This Row],[Results origin]]</f>
        <v>BLW Mono 9.1Best COP1555Simulation values</v>
      </c>
    </row>
    <row r="454" spans="1:13" x14ac:dyDescent="0.25">
      <c r="A454" t="s">
        <v>23</v>
      </c>
      <c r="B454" s="68" t="s">
        <v>156</v>
      </c>
      <c r="C454" s="92">
        <v>15</v>
      </c>
      <c r="D454" s="68">
        <v>60</v>
      </c>
      <c r="E454" s="69">
        <v>4.4674972082462299</v>
      </c>
      <c r="F454" s="69">
        <v>1.375914785211692</v>
      </c>
      <c r="G454" s="69">
        <v>3.2469287024623998</v>
      </c>
      <c r="H454" s="69">
        <v>0.432</v>
      </c>
      <c r="I454" s="69" t="s">
        <v>181</v>
      </c>
      <c r="J454" s="69" t="s">
        <v>38</v>
      </c>
      <c r="K454" s="212" t="s">
        <v>48</v>
      </c>
      <c r="L454" s="186" t="s">
        <v>182</v>
      </c>
      <c r="M454" s="69" t="str">
        <f>CapacityTable[[#This Row],[Model]]&amp;CapacityTable[[#This Row],[Type]]&amp;CapacityTable[[#This Row],[T ext]]&amp;CapacityTable[[#This Row],[T water out]]&amp;CapacityTable[[#This Row],[Results origin]]</f>
        <v>BLW Mono 6.1Best COP1560Simulation values</v>
      </c>
    </row>
    <row r="455" spans="1:13" x14ac:dyDescent="0.25">
      <c r="A455" t="s">
        <v>25</v>
      </c>
      <c r="B455" s="68" t="s">
        <v>156</v>
      </c>
      <c r="C455" s="92">
        <v>15</v>
      </c>
      <c r="D455" s="68">
        <v>60</v>
      </c>
      <c r="E455" s="69">
        <v>5.39358549208161</v>
      </c>
      <c r="F455" s="69">
        <v>1.7414553847196865</v>
      </c>
      <c r="G455" s="69">
        <v>3.09717121633282</v>
      </c>
      <c r="H455" s="69">
        <v>0.74999999999999878</v>
      </c>
      <c r="I455" s="69" t="s">
        <v>181</v>
      </c>
      <c r="J455" s="69" t="s">
        <v>38</v>
      </c>
      <c r="K455" s="212" t="s">
        <v>48</v>
      </c>
      <c r="L455" s="186" t="s">
        <v>182</v>
      </c>
      <c r="M455" s="69" t="str">
        <f>CapacityTable[[#This Row],[Model]]&amp;CapacityTable[[#This Row],[Type]]&amp;CapacityTable[[#This Row],[T ext]]&amp;CapacityTable[[#This Row],[T water out]]&amp;CapacityTable[[#This Row],[Results origin]]</f>
        <v>BLW Mono 9.1Best COP1560Simulation values</v>
      </c>
    </row>
    <row r="456" spans="1:13" x14ac:dyDescent="0.25">
      <c r="A456" t="s">
        <v>23</v>
      </c>
      <c r="B456" s="68" t="s">
        <v>156</v>
      </c>
      <c r="C456" s="92">
        <v>15</v>
      </c>
      <c r="D456" s="92">
        <v>65</v>
      </c>
      <c r="E456" s="69">
        <v>4.8101400257826796</v>
      </c>
      <c r="F456" s="69">
        <v>1.6677736065011126</v>
      </c>
      <c r="G456" s="69">
        <v>2.8841684548984201</v>
      </c>
      <c r="H456" s="69">
        <v>0.432</v>
      </c>
      <c r="I456" s="69" t="s">
        <v>181</v>
      </c>
      <c r="J456" s="69" t="s">
        <v>38</v>
      </c>
      <c r="K456" s="212" t="s">
        <v>48</v>
      </c>
      <c r="L456" s="186" t="s">
        <v>182</v>
      </c>
      <c r="M456" s="69" t="str">
        <f>CapacityTable[[#This Row],[Model]]&amp;CapacityTable[[#This Row],[Type]]&amp;CapacityTable[[#This Row],[T ext]]&amp;CapacityTable[[#This Row],[T water out]]&amp;CapacityTable[[#This Row],[Results origin]]</f>
        <v>BLW Mono 6.1Best COP1565Simulation values</v>
      </c>
    </row>
    <row r="457" spans="1:13" x14ac:dyDescent="0.25">
      <c r="A457" t="s">
        <v>25</v>
      </c>
      <c r="B457" s="68" t="s">
        <v>156</v>
      </c>
      <c r="C457" s="92">
        <v>15</v>
      </c>
      <c r="D457" s="92">
        <v>65</v>
      </c>
      <c r="E457" s="69">
        <v>5.9357854017072107</v>
      </c>
      <c r="F457" s="69">
        <v>2.1490170633131638</v>
      </c>
      <c r="G457" s="69">
        <v>2.7620931927622498</v>
      </c>
      <c r="H457" s="69">
        <v>0.74999999999999878</v>
      </c>
      <c r="I457" s="69" t="s">
        <v>181</v>
      </c>
      <c r="J457" s="69" t="s">
        <v>38</v>
      </c>
      <c r="K457" s="212" t="s">
        <v>48</v>
      </c>
      <c r="L457" s="186" t="s">
        <v>182</v>
      </c>
      <c r="M457" s="69" t="str">
        <f>CapacityTable[[#This Row],[Model]]&amp;CapacityTable[[#This Row],[Type]]&amp;CapacityTable[[#This Row],[T ext]]&amp;CapacityTable[[#This Row],[T water out]]&amp;CapacityTable[[#This Row],[Results origin]]</f>
        <v>BLW Mono 9.1Best COP1565Simulation values</v>
      </c>
    </row>
    <row r="458" spans="1:13" x14ac:dyDescent="0.25">
      <c r="A458" t="s">
        <v>23</v>
      </c>
      <c r="B458" s="68" t="s">
        <v>156</v>
      </c>
      <c r="C458" s="92">
        <v>15</v>
      </c>
      <c r="D458" s="68">
        <v>70</v>
      </c>
      <c r="E458" s="69">
        <v>4.6562790044177902</v>
      </c>
      <c r="F458" s="69">
        <v>1.8189117529961865</v>
      </c>
      <c r="G458" s="69">
        <v>2.55992573402628</v>
      </c>
      <c r="H458" s="69">
        <v>0.432</v>
      </c>
      <c r="I458" s="69" t="s">
        <v>181</v>
      </c>
      <c r="J458" s="69" t="s">
        <v>38</v>
      </c>
      <c r="K458" s="212" t="s">
        <v>48</v>
      </c>
      <c r="L458" s="186" t="s">
        <v>182</v>
      </c>
      <c r="M458" s="69" t="str">
        <f>CapacityTable[[#This Row],[Model]]&amp;CapacityTable[[#This Row],[Type]]&amp;CapacityTable[[#This Row],[T ext]]&amp;CapacityTable[[#This Row],[T water out]]&amp;CapacityTable[[#This Row],[Results origin]]</f>
        <v>BLW Mono 6.1Best COP1570Simulation values</v>
      </c>
    </row>
    <row r="459" spans="1:13" x14ac:dyDescent="0.25">
      <c r="A459" t="s">
        <v>25</v>
      </c>
      <c r="B459" s="68" t="s">
        <v>156</v>
      </c>
      <c r="C459" s="92">
        <v>15</v>
      </c>
      <c r="D459" s="68">
        <v>70</v>
      </c>
      <c r="E459" s="69">
        <v>5.8010055841658206</v>
      </c>
      <c r="F459" s="69">
        <v>2.3442282518382482</v>
      </c>
      <c r="G459" s="69">
        <v>2.4745907654755501</v>
      </c>
      <c r="H459" s="69">
        <v>0.74999999999999878</v>
      </c>
      <c r="I459" s="69" t="s">
        <v>181</v>
      </c>
      <c r="J459" s="69" t="s">
        <v>38</v>
      </c>
      <c r="K459" s="212" t="s">
        <v>48</v>
      </c>
      <c r="L459" s="186" t="s">
        <v>182</v>
      </c>
      <c r="M459" s="69" t="str">
        <f>CapacityTable[[#This Row],[Model]]&amp;CapacityTable[[#This Row],[Type]]&amp;CapacityTable[[#This Row],[T ext]]&amp;CapacityTable[[#This Row],[T water out]]&amp;CapacityTable[[#This Row],[Results origin]]</f>
        <v>BLW Mono 9.1Best COP1570Simulation values</v>
      </c>
    </row>
    <row r="460" spans="1:13" x14ac:dyDescent="0.25">
      <c r="A460" t="s">
        <v>23</v>
      </c>
      <c r="B460" s="68" t="s">
        <v>156</v>
      </c>
      <c r="C460" s="92">
        <v>45</v>
      </c>
      <c r="D460" s="92">
        <v>7</v>
      </c>
      <c r="E460" s="69">
        <v>2.13681903349348</v>
      </c>
      <c r="F460" s="69">
        <v>0.82587102615636021</v>
      </c>
      <c r="G460" s="69">
        <v>2.5873519784782002</v>
      </c>
      <c r="H460" s="69"/>
      <c r="I460" s="69" t="s">
        <v>191</v>
      </c>
      <c r="J460" s="69" t="s">
        <v>38</v>
      </c>
      <c r="K460" s="219" t="s">
        <v>192</v>
      </c>
      <c r="L460" s="186"/>
      <c r="M460" s="69" t="str">
        <f>CapacityTable[[#This Row],[Model]]&amp;CapacityTable[[#This Row],[Type]]&amp;CapacityTable[[#This Row],[T ext]]&amp;CapacityTable[[#This Row],[T water out]]&amp;CapacityTable[[#This Row],[Results origin]]</f>
        <v>BLW Mono 6.1Best COP457Simulation values</v>
      </c>
    </row>
    <row r="461" spans="1:13" x14ac:dyDescent="0.25">
      <c r="A461" t="s">
        <v>25</v>
      </c>
      <c r="B461" s="68" t="s">
        <v>156</v>
      </c>
      <c r="C461" s="92">
        <v>45</v>
      </c>
      <c r="D461" s="92">
        <v>7</v>
      </c>
      <c r="E461" s="69">
        <v>2.2621979219999999</v>
      </c>
      <c r="F461" s="69">
        <v>0.8315292679363504</v>
      </c>
      <c r="G461" s="69">
        <v>2.7205271170000001</v>
      </c>
      <c r="H461" s="69"/>
      <c r="I461" s="69" t="s">
        <v>191</v>
      </c>
      <c r="J461" s="69" t="s">
        <v>38</v>
      </c>
      <c r="K461" s="232" t="s">
        <v>192</v>
      </c>
      <c r="L461" s="186"/>
      <c r="M461" s="69" t="str">
        <f>CapacityTable[[#This Row],[Model]]&amp;CapacityTable[[#This Row],[Type]]&amp;CapacityTable[[#This Row],[T ext]]&amp;CapacityTable[[#This Row],[T water out]]&amp;CapacityTable[[#This Row],[Results origin]]</f>
        <v>BLW Mono 9.1Best COP457Simulation values</v>
      </c>
    </row>
    <row r="462" spans="1:13" x14ac:dyDescent="0.25">
      <c r="A462" t="s">
        <v>23</v>
      </c>
      <c r="B462" s="68" t="s">
        <v>156</v>
      </c>
      <c r="C462" s="92">
        <v>20</v>
      </c>
      <c r="D462" s="68">
        <v>25</v>
      </c>
      <c r="E462" s="69">
        <v>2.8126311299878499</v>
      </c>
      <c r="F462" s="69">
        <v>0.26831373977403711</v>
      </c>
      <c r="G462" s="69">
        <v>10.482620578269801</v>
      </c>
      <c r="H462" s="69">
        <v>0.48832141704871324</v>
      </c>
      <c r="I462" s="69" t="s">
        <v>181</v>
      </c>
      <c r="J462" s="69" t="s">
        <v>38</v>
      </c>
      <c r="K462" s="212" t="s">
        <v>48</v>
      </c>
      <c r="L462" s="186" t="s">
        <v>182</v>
      </c>
      <c r="M462" s="69" t="str">
        <f>CapacityTable[[#This Row],[Model]]&amp;CapacityTable[[#This Row],[Type]]&amp;CapacityTable[[#This Row],[T ext]]&amp;CapacityTable[[#This Row],[T water out]]&amp;CapacityTable[[#This Row],[Results origin]]</f>
        <v>BLW Mono 6.1Best COP2025Simulation values</v>
      </c>
    </row>
    <row r="463" spans="1:13" x14ac:dyDescent="0.25">
      <c r="A463" t="s">
        <v>25</v>
      </c>
      <c r="B463" s="68" t="s">
        <v>156</v>
      </c>
      <c r="C463" s="92">
        <v>20</v>
      </c>
      <c r="D463" s="68">
        <v>25</v>
      </c>
      <c r="E463" s="69">
        <v>4.0699803433311201</v>
      </c>
      <c r="F463" s="69">
        <v>0.44393999571279907</v>
      </c>
      <c r="G463" s="69">
        <v>9.1678613836004494</v>
      </c>
      <c r="H463" s="69">
        <v>0.74999999999999878</v>
      </c>
      <c r="I463" s="69" t="s">
        <v>181</v>
      </c>
      <c r="J463" s="69" t="s">
        <v>38</v>
      </c>
      <c r="K463" s="212" t="s">
        <v>48</v>
      </c>
      <c r="L463" s="186" t="s">
        <v>182</v>
      </c>
      <c r="M463" s="69" t="str">
        <f>CapacityTable[[#This Row],[Model]]&amp;CapacityTable[[#This Row],[Type]]&amp;CapacityTable[[#This Row],[T ext]]&amp;CapacityTable[[#This Row],[T water out]]&amp;CapacityTable[[#This Row],[Results origin]]</f>
        <v>BLW Mono 9.1Best COP2025Simulation values</v>
      </c>
    </row>
    <row r="464" spans="1:13" x14ac:dyDescent="0.25">
      <c r="A464" t="s">
        <v>23</v>
      </c>
      <c r="B464" s="68" t="s">
        <v>156</v>
      </c>
      <c r="C464" s="92">
        <v>20</v>
      </c>
      <c r="D464" s="92">
        <v>35</v>
      </c>
      <c r="E464" s="69">
        <v>3.41882737188857</v>
      </c>
      <c r="F464" s="69">
        <v>0.502987656052445</v>
      </c>
      <c r="G464" s="69">
        <v>6.7970403065559504</v>
      </c>
      <c r="H464" s="69">
        <v>0.59516758864866603</v>
      </c>
      <c r="I464" s="69" t="s">
        <v>181</v>
      </c>
      <c r="J464" s="69" t="s">
        <v>38</v>
      </c>
      <c r="K464" s="212" t="s">
        <v>48</v>
      </c>
      <c r="L464" s="186" t="s">
        <v>182</v>
      </c>
      <c r="M464" s="69" t="str">
        <f>CapacityTable[[#This Row],[Model]]&amp;CapacityTable[[#This Row],[Type]]&amp;CapacityTable[[#This Row],[T ext]]&amp;CapacityTable[[#This Row],[T water out]]&amp;CapacityTable[[#This Row],[Results origin]]</f>
        <v>BLW Mono 6.1Best COP2035Simulation values</v>
      </c>
    </row>
    <row r="465" spans="1:13" x14ac:dyDescent="0.25">
      <c r="A465" t="s">
        <v>25</v>
      </c>
      <c r="B465" s="68" t="s">
        <v>156</v>
      </c>
      <c r="C465" s="92">
        <v>20</v>
      </c>
      <c r="D465" s="92">
        <v>35</v>
      </c>
      <c r="E465" s="69">
        <v>3.8746789570732698</v>
      </c>
      <c r="F465" s="69">
        <v>0.5615909671191045</v>
      </c>
      <c r="G465" s="69">
        <v>6.8994680896488001</v>
      </c>
      <c r="H465" s="69">
        <v>0.74999999999999878</v>
      </c>
      <c r="I465" s="69" t="s">
        <v>181</v>
      </c>
      <c r="J465" s="69" t="s">
        <v>38</v>
      </c>
      <c r="K465" s="212" t="s">
        <v>48</v>
      </c>
      <c r="L465" s="186" t="s">
        <v>182</v>
      </c>
      <c r="M465" s="69" t="str">
        <f>CapacityTable[[#This Row],[Model]]&amp;CapacityTable[[#This Row],[Type]]&amp;CapacityTable[[#This Row],[T ext]]&amp;CapacityTable[[#This Row],[T water out]]&amp;CapacityTable[[#This Row],[Results origin]]</f>
        <v>BLW Mono 9.1Best COP2035Simulation values</v>
      </c>
    </row>
    <row r="466" spans="1:13" x14ac:dyDescent="0.25">
      <c r="A466" t="s">
        <v>25</v>
      </c>
      <c r="B466" s="68" t="s">
        <v>166</v>
      </c>
      <c r="C466" s="92">
        <v>-7</v>
      </c>
      <c r="D466" s="68">
        <v>50</v>
      </c>
      <c r="E466" s="69">
        <v>2.1807783062286901</v>
      </c>
      <c r="F466" s="69">
        <v>0.98436376357393718</v>
      </c>
      <c r="G466" s="69">
        <v>2.2154191234253902</v>
      </c>
      <c r="H466" s="69">
        <v>0.74999999999999878</v>
      </c>
      <c r="I466" s="69" t="s">
        <v>181</v>
      </c>
      <c r="J466" s="69" t="s">
        <v>38</v>
      </c>
      <c r="K466" s="212" t="s">
        <v>48</v>
      </c>
      <c r="L466" s="186" t="s">
        <v>182</v>
      </c>
      <c r="M466" s="69" t="str">
        <f>CapacityTable[[#This Row],[Model]]&amp;CapacityTable[[#This Row],[Type]]&amp;CapacityTable[[#This Row],[T ext]]&amp;CapacityTable[[#This Row],[T water out]]&amp;CapacityTable[[#This Row],[Results origin]]</f>
        <v>BLW Mono 9.1Min power-750Simulation values</v>
      </c>
    </row>
    <row r="467" spans="1:13" x14ac:dyDescent="0.25">
      <c r="A467" t="s">
        <v>25</v>
      </c>
      <c r="B467" s="68" t="s">
        <v>166</v>
      </c>
      <c r="C467" s="92">
        <v>-7</v>
      </c>
      <c r="D467" s="68">
        <v>55</v>
      </c>
      <c r="E467" s="69">
        <v>2.1602519659060397</v>
      </c>
      <c r="F467" s="69">
        <v>1.0683527534256128</v>
      </c>
      <c r="G467" s="69">
        <v>2.0220399666489501</v>
      </c>
      <c r="H467" s="69">
        <v>0.74999999999999878</v>
      </c>
      <c r="I467" s="69" t="s">
        <v>181</v>
      </c>
      <c r="J467" s="69" t="s">
        <v>38</v>
      </c>
      <c r="K467" s="213" t="s">
        <v>183</v>
      </c>
      <c r="L467" s="69" t="s">
        <v>184</v>
      </c>
      <c r="M467" s="69" t="str">
        <f>CapacityTable[[#This Row],[Model]]&amp;CapacityTable[[#This Row],[Type]]&amp;CapacityTable[[#This Row],[T ext]]&amp;CapacityTable[[#This Row],[T water out]]&amp;CapacityTable[[#This Row],[Results origin]]</f>
        <v>BLW Mono 9.1Min power-755Simulation values</v>
      </c>
    </row>
    <row r="468" spans="1:13" x14ac:dyDescent="0.25">
      <c r="A468" t="s">
        <v>23</v>
      </c>
      <c r="B468" s="68" t="s">
        <v>165</v>
      </c>
      <c r="C468" s="92">
        <v>20</v>
      </c>
      <c r="D468" s="92">
        <v>65</v>
      </c>
      <c r="E468" s="69">
        <v>7.1801031080800142</v>
      </c>
      <c r="F468" s="69">
        <v>2.4395904819711878</v>
      </c>
      <c r="G468" s="69">
        <v>2.9228997226022582</v>
      </c>
      <c r="H468" s="69">
        <v>0.62850926727724687</v>
      </c>
      <c r="I468" s="69" t="s">
        <v>181</v>
      </c>
      <c r="J468" s="69" t="s">
        <v>38</v>
      </c>
      <c r="K468" s="213" t="s">
        <v>183</v>
      </c>
      <c r="L468" s="69"/>
      <c r="M468" s="69" t="str">
        <f>CapacityTable[[#This Row],[Model]]&amp;CapacityTable[[#This Row],[Type]]&amp;CapacityTable[[#This Row],[T ext]]&amp;CapacityTable[[#This Row],[T water out]]&amp;CapacityTable[[#This Row],[Results origin]]</f>
        <v>BLW Mono 6.1Max power2065Simulation values</v>
      </c>
    </row>
    <row r="469" spans="1:13" x14ac:dyDescent="0.25">
      <c r="A469" t="s">
        <v>23</v>
      </c>
      <c r="B469" s="68" t="s">
        <v>165</v>
      </c>
      <c r="C469" s="92">
        <v>20</v>
      </c>
      <c r="D469" s="68">
        <v>70</v>
      </c>
      <c r="E469" s="69">
        <v>7.1801193275647597</v>
      </c>
      <c r="F469" s="69">
        <v>2.735439398756629</v>
      </c>
      <c r="G469" s="69">
        <v>2.6094825929304304</v>
      </c>
      <c r="H469" s="69">
        <v>0.629644557154031</v>
      </c>
      <c r="I469" s="69" t="s">
        <v>181</v>
      </c>
      <c r="J469" s="69" t="s">
        <v>38</v>
      </c>
      <c r="K469" s="212" t="s">
        <v>48</v>
      </c>
      <c r="L469" s="186" t="s">
        <v>182</v>
      </c>
      <c r="M469" s="69" t="str">
        <f>CapacityTable[[#This Row],[Model]]&amp;CapacityTable[[#This Row],[Type]]&amp;CapacityTable[[#This Row],[T ext]]&amp;CapacityTable[[#This Row],[T water out]]&amp;CapacityTable[[#This Row],[Results origin]]</f>
        <v>BLW Mono 6.1Max power2070Simulation values</v>
      </c>
    </row>
    <row r="470" spans="1:13" x14ac:dyDescent="0.25">
      <c r="A470" t="s">
        <v>25</v>
      </c>
      <c r="B470" s="68" t="s">
        <v>165</v>
      </c>
      <c r="C470" s="92">
        <v>20</v>
      </c>
      <c r="D470" s="92">
        <v>65</v>
      </c>
      <c r="E470" s="69">
        <v>10.775555915526217</v>
      </c>
      <c r="F470" s="69">
        <v>4.0833292963369034</v>
      </c>
      <c r="G470" s="69">
        <v>2.638914261750287</v>
      </c>
      <c r="H470" s="69">
        <v>0.94276298621142807</v>
      </c>
      <c r="I470" s="69" t="s">
        <v>181</v>
      </c>
      <c r="J470" s="69" t="s">
        <v>38</v>
      </c>
      <c r="K470" s="213" t="s">
        <v>183</v>
      </c>
      <c r="L470" s="69"/>
      <c r="M470" s="69" t="str">
        <f>CapacityTable[[#This Row],[Model]]&amp;CapacityTable[[#This Row],[Type]]&amp;CapacityTable[[#This Row],[T ext]]&amp;CapacityTable[[#This Row],[T water out]]&amp;CapacityTable[[#This Row],[Results origin]]</f>
        <v>BLW Mono 9.1Max power2065Simulation values</v>
      </c>
    </row>
    <row r="471" spans="1:13" x14ac:dyDescent="0.25">
      <c r="A471" t="s">
        <v>25</v>
      </c>
      <c r="B471" s="68" t="s">
        <v>165</v>
      </c>
      <c r="C471" s="92">
        <v>20</v>
      </c>
      <c r="D471" s="68">
        <v>70</v>
      </c>
      <c r="E471" s="69">
        <v>10.775542737426479</v>
      </c>
      <c r="F471" s="69">
        <v>4.5353123725301785</v>
      </c>
      <c r="G471" s="69">
        <v>2.375920742018256</v>
      </c>
      <c r="H471" s="69">
        <v>0.94446654377362305</v>
      </c>
      <c r="I471" s="69" t="s">
        <v>181</v>
      </c>
      <c r="J471" s="69" t="s">
        <v>38</v>
      </c>
      <c r="K471" s="212" t="s">
        <v>48</v>
      </c>
      <c r="L471" s="186" t="s">
        <v>182</v>
      </c>
      <c r="M471" s="69" t="str">
        <f>CapacityTable[[#This Row],[Model]]&amp;CapacityTable[[#This Row],[Type]]&amp;CapacityTable[[#This Row],[T ext]]&amp;CapacityTable[[#This Row],[T water out]]&amp;CapacityTable[[#This Row],[Results origin]]</f>
        <v>BLW Mono 9.1Max power2070Simulation values</v>
      </c>
    </row>
    <row r="472" spans="1:13" x14ac:dyDescent="0.25">
      <c r="A472" t="s">
        <v>25</v>
      </c>
      <c r="B472" s="68" t="s">
        <v>166</v>
      </c>
      <c r="C472" s="92">
        <v>-7</v>
      </c>
      <c r="D472" s="68">
        <v>60</v>
      </c>
      <c r="E472" s="69">
        <v>2.14959426517248</v>
      </c>
      <c r="F472" s="69">
        <v>1.1554330330411944</v>
      </c>
      <c r="G472" s="69">
        <v>1.86042306538058</v>
      </c>
      <c r="H472" s="69">
        <v>0.74999999999999878</v>
      </c>
      <c r="I472" s="69" t="s">
        <v>181</v>
      </c>
      <c r="J472" s="69" t="s">
        <v>38</v>
      </c>
      <c r="K472" s="212" t="s">
        <v>48</v>
      </c>
      <c r="L472" s="186" t="s">
        <v>182</v>
      </c>
      <c r="M472" s="69" t="str">
        <f>CapacityTable[[#This Row],[Model]]&amp;CapacityTable[[#This Row],[Type]]&amp;CapacityTable[[#This Row],[T ext]]&amp;CapacityTable[[#This Row],[T water out]]&amp;CapacityTable[[#This Row],[Results origin]]</f>
        <v>BLW Mono 9.1Min power-760Simulation values</v>
      </c>
    </row>
    <row r="473" spans="1:13" x14ac:dyDescent="0.25">
      <c r="A473" t="s">
        <v>25</v>
      </c>
      <c r="B473" s="68" t="s">
        <v>166</v>
      </c>
      <c r="C473" s="92">
        <v>-7</v>
      </c>
      <c r="D473" s="92">
        <v>65</v>
      </c>
      <c r="E473" s="69">
        <v>2.7558487436850001</v>
      </c>
      <c r="F473" s="69">
        <v>1.5666943076566939</v>
      </c>
      <c r="G473" s="69">
        <v>1.7590213548467699</v>
      </c>
      <c r="H473" s="69">
        <v>0.74999999999999878</v>
      </c>
      <c r="I473" s="69" t="s">
        <v>181</v>
      </c>
      <c r="J473" s="69" t="s">
        <v>38</v>
      </c>
      <c r="K473" s="213" t="s">
        <v>183</v>
      </c>
      <c r="L473" s="69" t="s">
        <v>184</v>
      </c>
      <c r="M473" s="69" t="str">
        <f>CapacityTable[[#This Row],[Model]]&amp;CapacityTable[[#This Row],[Type]]&amp;CapacityTable[[#This Row],[T ext]]&amp;CapacityTable[[#This Row],[T water out]]&amp;CapacityTable[[#This Row],[Results origin]]</f>
        <v>BLW Mono 9.1Min power-765Simulation values</v>
      </c>
    </row>
    <row r="474" spans="1:13" x14ac:dyDescent="0.25">
      <c r="A474" t="s">
        <v>25</v>
      </c>
      <c r="B474" s="68" t="s">
        <v>166</v>
      </c>
      <c r="C474" s="92">
        <v>-7</v>
      </c>
      <c r="D474" s="68">
        <v>70</v>
      </c>
      <c r="E474" s="69">
        <v>3.0300668737165903</v>
      </c>
      <c r="F474" s="69">
        <v>1.8434706167641091</v>
      </c>
      <c r="G474" s="69">
        <v>1.6436751669171401</v>
      </c>
      <c r="H474" s="69">
        <v>0.74999999999999878</v>
      </c>
      <c r="I474" s="69" t="s">
        <v>181</v>
      </c>
      <c r="J474" s="69" t="s">
        <v>38</v>
      </c>
      <c r="K474" s="212" t="s">
        <v>48</v>
      </c>
      <c r="L474" s="186" t="s">
        <v>182</v>
      </c>
      <c r="M474" s="69" t="str">
        <f>CapacityTable[[#This Row],[Model]]&amp;CapacityTable[[#This Row],[Type]]&amp;CapacityTable[[#This Row],[T ext]]&amp;CapacityTable[[#This Row],[T water out]]&amp;CapacityTable[[#This Row],[Results origin]]</f>
        <v>BLW Mono 9.1Min power-770Simulation values</v>
      </c>
    </row>
    <row r="475" spans="1:13" x14ac:dyDescent="0.25">
      <c r="A475" t="s">
        <v>25</v>
      </c>
      <c r="B475" s="68" t="s">
        <v>166</v>
      </c>
      <c r="C475" s="92">
        <v>2</v>
      </c>
      <c r="D475" s="68">
        <v>25</v>
      </c>
      <c r="E475" s="69">
        <v>2.7134460201759198</v>
      </c>
      <c r="F475" s="69">
        <v>0.54378403537455844</v>
      </c>
      <c r="G475" s="69">
        <v>4.9899332155032798</v>
      </c>
      <c r="H475" s="69">
        <v>0.74999999999999878</v>
      </c>
      <c r="I475" s="69" t="s">
        <v>181</v>
      </c>
      <c r="J475" s="69" t="s">
        <v>38</v>
      </c>
      <c r="K475" s="212" t="s">
        <v>48</v>
      </c>
      <c r="L475" s="186" t="s">
        <v>182</v>
      </c>
      <c r="M475" s="69" t="str">
        <f>CapacityTable[[#This Row],[Model]]&amp;CapacityTable[[#This Row],[Type]]&amp;CapacityTable[[#This Row],[T ext]]&amp;CapacityTable[[#This Row],[T water out]]&amp;CapacityTable[[#This Row],[Results origin]]</f>
        <v>BLW Mono 9.1Min power225Simulation values</v>
      </c>
    </row>
    <row r="476" spans="1:13" x14ac:dyDescent="0.25">
      <c r="A476" t="s">
        <v>25</v>
      </c>
      <c r="B476" s="68" t="s">
        <v>166</v>
      </c>
      <c r="C476" s="92">
        <v>2</v>
      </c>
      <c r="D476" s="68">
        <v>35</v>
      </c>
      <c r="E476" s="69">
        <v>2.5845297636747699</v>
      </c>
      <c r="F476" s="69">
        <v>0.68200263450580811</v>
      </c>
      <c r="G476" s="69">
        <v>3.78961844560552</v>
      </c>
      <c r="H476" s="69">
        <v>0.74999999999999878</v>
      </c>
      <c r="I476" s="69" t="s">
        <v>181</v>
      </c>
      <c r="J476" s="69" t="s">
        <v>38</v>
      </c>
      <c r="K476" s="213" t="s">
        <v>183</v>
      </c>
      <c r="L476" s="69" t="s">
        <v>184</v>
      </c>
      <c r="M476" s="69" t="str">
        <f>CapacityTable[[#This Row],[Model]]&amp;CapacityTable[[#This Row],[Type]]&amp;CapacityTable[[#This Row],[T ext]]&amp;CapacityTable[[#This Row],[T water out]]&amp;CapacityTable[[#This Row],[Results origin]]</f>
        <v>BLW Mono 9.1Min power235Simulation values</v>
      </c>
    </row>
    <row r="477" spans="1:13" x14ac:dyDescent="0.25">
      <c r="A477" t="s">
        <v>25</v>
      </c>
      <c r="B477" s="68" t="s">
        <v>166</v>
      </c>
      <c r="C477" s="92">
        <v>2</v>
      </c>
      <c r="D477" s="68">
        <v>40</v>
      </c>
      <c r="E477" s="69">
        <v>2.5311712777386099</v>
      </c>
      <c r="F477" s="69">
        <v>0.75924536627346151</v>
      </c>
      <c r="G477" s="69">
        <v>3.3337987825492301</v>
      </c>
      <c r="H477" s="69">
        <v>0.74999999999999878</v>
      </c>
      <c r="I477" s="69" t="s">
        <v>181</v>
      </c>
      <c r="J477" s="69" t="s">
        <v>38</v>
      </c>
      <c r="K477" s="212" t="s">
        <v>48</v>
      </c>
      <c r="L477" s="186" t="s">
        <v>182</v>
      </c>
      <c r="M477" s="69" t="str">
        <f>CapacityTable[[#This Row],[Model]]&amp;CapacityTable[[#This Row],[Type]]&amp;CapacityTable[[#This Row],[T ext]]&amp;CapacityTable[[#This Row],[T water out]]&amp;CapacityTable[[#This Row],[Results origin]]</f>
        <v>BLW Mono 9.1Min power240Simulation values</v>
      </c>
    </row>
    <row r="478" spans="1:13" x14ac:dyDescent="0.25">
      <c r="A478" t="s">
        <v>25</v>
      </c>
      <c r="B478" s="68" t="s">
        <v>166</v>
      </c>
      <c r="C478" s="92">
        <v>2</v>
      </c>
      <c r="D478" s="68">
        <v>45</v>
      </c>
      <c r="E478" s="69">
        <v>2.4861670442966401</v>
      </c>
      <c r="F478" s="69">
        <v>0.84190814525755442</v>
      </c>
      <c r="G478" s="69">
        <v>2.9530145993968002</v>
      </c>
      <c r="H478" s="69">
        <v>0.74999999999999878</v>
      </c>
      <c r="I478" s="69" t="s">
        <v>181</v>
      </c>
      <c r="J478" s="69" t="s">
        <v>38</v>
      </c>
      <c r="K478" s="213" t="s">
        <v>183</v>
      </c>
      <c r="L478" s="69" t="s">
        <v>184</v>
      </c>
      <c r="M478" s="69" t="str">
        <f>CapacityTable[[#This Row],[Model]]&amp;CapacityTable[[#This Row],[Type]]&amp;CapacityTable[[#This Row],[T ext]]&amp;CapacityTable[[#This Row],[T water out]]&amp;CapacityTable[[#This Row],[Results origin]]</f>
        <v>BLW Mono 9.1Min power245Simulation values</v>
      </c>
    </row>
    <row r="479" spans="1:13" x14ac:dyDescent="0.25">
      <c r="A479" t="s">
        <v>25</v>
      </c>
      <c r="B479" s="68" t="s">
        <v>166</v>
      </c>
      <c r="C479" s="92">
        <v>2</v>
      </c>
      <c r="D479" s="68">
        <v>50</v>
      </c>
      <c r="E479" s="69">
        <v>2.4497457127230202</v>
      </c>
      <c r="F479" s="69">
        <v>0.92998516221880145</v>
      </c>
      <c r="G479" s="69">
        <v>2.6341772022236398</v>
      </c>
      <c r="H479" s="69">
        <v>0.74999999999999878</v>
      </c>
      <c r="I479" s="69" t="s">
        <v>181</v>
      </c>
      <c r="J479" s="69" t="s">
        <v>38</v>
      </c>
      <c r="K479" s="212" t="s">
        <v>48</v>
      </c>
      <c r="L479" s="186" t="s">
        <v>182</v>
      </c>
      <c r="M479" s="69" t="str">
        <f>CapacityTable[[#This Row],[Model]]&amp;CapacityTable[[#This Row],[Type]]&amp;CapacityTable[[#This Row],[T ext]]&amp;CapacityTable[[#This Row],[T water out]]&amp;CapacityTable[[#This Row],[Results origin]]</f>
        <v>BLW Mono 9.1Min power250Simulation values</v>
      </c>
    </row>
    <row r="480" spans="1:13" x14ac:dyDescent="0.25">
      <c r="A480" t="s">
        <v>25</v>
      </c>
      <c r="B480" s="68" t="s">
        <v>166</v>
      </c>
      <c r="C480" s="92">
        <v>2</v>
      </c>
      <c r="D480" s="68">
        <v>55</v>
      </c>
      <c r="E480" s="69">
        <v>2.4217353055050097</v>
      </c>
      <c r="F480" s="69">
        <v>1.023450804742805</v>
      </c>
      <c r="G480" s="69">
        <v>2.3662449570437301</v>
      </c>
      <c r="H480" s="69">
        <v>0.74999999999999878</v>
      </c>
      <c r="I480" s="69" t="s">
        <v>181</v>
      </c>
      <c r="J480" s="69" t="s">
        <v>38</v>
      </c>
      <c r="K480" s="213" t="s">
        <v>183</v>
      </c>
      <c r="L480" s="69" t="s">
        <v>184</v>
      </c>
      <c r="M480" s="69" t="str">
        <f>CapacityTable[[#This Row],[Model]]&amp;CapacityTable[[#This Row],[Type]]&amp;CapacityTable[[#This Row],[T ext]]&amp;CapacityTable[[#This Row],[T water out]]&amp;CapacityTable[[#This Row],[Results origin]]</f>
        <v>BLW Mono 9.1Min power255Simulation values</v>
      </c>
    </row>
    <row r="481" spans="1:13" x14ac:dyDescent="0.25">
      <c r="A481" t="s">
        <v>25</v>
      </c>
      <c r="B481" s="68" t="s">
        <v>166</v>
      </c>
      <c r="C481" s="92">
        <v>2</v>
      </c>
      <c r="D481" s="68">
        <v>60</v>
      </c>
      <c r="E481" s="69">
        <v>2.75417873153016</v>
      </c>
      <c r="F481" s="69">
        <v>1.2569462412383401</v>
      </c>
      <c r="G481" s="69">
        <v>2.1911666873014002</v>
      </c>
      <c r="H481" s="69">
        <v>0.74999999999999878</v>
      </c>
      <c r="I481" s="69" t="s">
        <v>181</v>
      </c>
      <c r="J481" s="69" t="s">
        <v>38</v>
      </c>
      <c r="K481" s="212" t="s">
        <v>48</v>
      </c>
      <c r="L481" s="186" t="s">
        <v>182</v>
      </c>
      <c r="M481" s="69" t="str">
        <f>CapacityTable[[#This Row],[Model]]&amp;CapacityTable[[#This Row],[Type]]&amp;CapacityTable[[#This Row],[T ext]]&amp;CapacityTable[[#This Row],[T water out]]&amp;CapacityTable[[#This Row],[Results origin]]</f>
        <v>BLW Mono 9.1Min power260Simulation values</v>
      </c>
    </row>
    <row r="482" spans="1:13" x14ac:dyDescent="0.25">
      <c r="A482" t="s">
        <v>25</v>
      </c>
      <c r="B482" s="68" t="s">
        <v>166</v>
      </c>
      <c r="C482" s="92">
        <v>2</v>
      </c>
      <c r="D482" s="92">
        <v>65</v>
      </c>
      <c r="E482" s="69">
        <v>3.8938808857258702</v>
      </c>
      <c r="F482" s="69">
        <v>1.8568843495699587</v>
      </c>
      <c r="G482" s="69">
        <v>2.0969969867146898</v>
      </c>
      <c r="H482" s="69">
        <v>0.74999999999999878</v>
      </c>
      <c r="I482" s="69" t="s">
        <v>181</v>
      </c>
      <c r="J482" s="69" t="s">
        <v>38</v>
      </c>
      <c r="K482" s="213" t="s">
        <v>183</v>
      </c>
      <c r="L482" s="69" t="s">
        <v>184</v>
      </c>
      <c r="M482" s="69" t="str">
        <f>CapacityTable[[#This Row],[Model]]&amp;CapacityTable[[#This Row],[Type]]&amp;CapacityTable[[#This Row],[T ext]]&amp;CapacityTable[[#This Row],[T water out]]&amp;CapacityTable[[#This Row],[Results origin]]</f>
        <v>BLW Mono 9.1Min power265Simulation values</v>
      </c>
    </row>
    <row r="483" spans="1:13" x14ac:dyDescent="0.25">
      <c r="A483" t="s">
        <v>25</v>
      </c>
      <c r="B483" s="68" t="s">
        <v>166</v>
      </c>
      <c r="C483" s="92">
        <v>2</v>
      </c>
      <c r="D483" s="68">
        <v>70</v>
      </c>
      <c r="E483" s="69">
        <v>3.8418063346109501</v>
      </c>
      <c r="F483" s="69">
        <v>2.0103117410912383</v>
      </c>
      <c r="G483" s="69">
        <v>1.9110500406894799</v>
      </c>
      <c r="H483" s="69">
        <v>0.74999999999999878</v>
      </c>
      <c r="I483" s="69" t="s">
        <v>181</v>
      </c>
      <c r="J483" s="69" t="s">
        <v>38</v>
      </c>
      <c r="K483" s="212" t="s">
        <v>48</v>
      </c>
      <c r="L483" s="186" t="s">
        <v>182</v>
      </c>
      <c r="M483" s="69" t="str">
        <f>CapacityTable[[#This Row],[Model]]&amp;CapacityTable[[#This Row],[Type]]&amp;CapacityTable[[#This Row],[T ext]]&amp;CapacityTable[[#This Row],[T water out]]&amp;CapacityTable[[#This Row],[Results origin]]</f>
        <v>BLW Mono 9.1Min power270Simulation values</v>
      </c>
    </row>
    <row r="484" spans="1:13" x14ac:dyDescent="0.25">
      <c r="A484" t="s">
        <v>25</v>
      </c>
      <c r="B484" s="68" t="s">
        <v>166</v>
      </c>
      <c r="C484" s="92">
        <v>7</v>
      </c>
      <c r="D484" s="68">
        <v>25</v>
      </c>
      <c r="E484" s="69">
        <v>2.86495766626805</v>
      </c>
      <c r="F484" s="69">
        <v>0.46816317435353233</v>
      </c>
      <c r="G484" s="69">
        <v>6.1195707462983497</v>
      </c>
      <c r="H484" s="69">
        <v>0.74999999999999878</v>
      </c>
      <c r="I484" s="69" t="s">
        <v>181</v>
      </c>
      <c r="J484" s="69" t="s">
        <v>38</v>
      </c>
      <c r="K484" s="212" t="s">
        <v>48</v>
      </c>
      <c r="L484" s="186" t="s">
        <v>182</v>
      </c>
      <c r="M484" s="69" t="str">
        <f>CapacityTable[[#This Row],[Model]]&amp;CapacityTable[[#This Row],[Type]]&amp;CapacityTable[[#This Row],[T ext]]&amp;CapacityTable[[#This Row],[T water out]]&amp;CapacityTable[[#This Row],[Results origin]]</f>
        <v>BLW Mono 9.1Min power725Simulation values</v>
      </c>
    </row>
    <row r="485" spans="1:13" x14ac:dyDescent="0.25">
      <c r="A485" t="s">
        <v>25</v>
      </c>
      <c r="B485" s="68" t="s">
        <v>166</v>
      </c>
      <c r="C485" s="92">
        <v>7</v>
      </c>
      <c r="D485" s="68">
        <v>35</v>
      </c>
      <c r="E485" s="69">
        <v>2.7318330429374802</v>
      </c>
      <c r="F485" s="69">
        <v>0.59636713630941129</v>
      </c>
      <c r="G485" s="69">
        <v>4.58079071868932</v>
      </c>
      <c r="H485" s="69">
        <v>0.74999999999999878</v>
      </c>
      <c r="I485" s="69" t="s">
        <v>181</v>
      </c>
      <c r="J485" s="69" t="s">
        <v>38</v>
      </c>
      <c r="K485" s="213" t="s">
        <v>183</v>
      </c>
      <c r="L485" s="69" t="s">
        <v>184</v>
      </c>
      <c r="M485" s="69" t="str">
        <f>CapacityTable[[#This Row],[Model]]&amp;CapacityTable[[#This Row],[Type]]&amp;CapacityTable[[#This Row],[T ext]]&amp;CapacityTable[[#This Row],[T water out]]&amp;CapacityTable[[#This Row],[Results origin]]</f>
        <v>BLW Mono 9.1Min power735Simulation values</v>
      </c>
    </row>
    <row r="486" spans="1:13" x14ac:dyDescent="0.25">
      <c r="A486" t="s">
        <v>25</v>
      </c>
      <c r="B486" s="68" t="s">
        <v>166</v>
      </c>
      <c r="C486" s="92">
        <v>7</v>
      </c>
      <c r="D486" s="68">
        <v>40</v>
      </c>
      <c r="E486" s="69">
        <v>2.67206872958951</v>
      </c>
      <c r="F486" s="69">
        <v>0.67025800185590989</v>
      </c>
      <c r="G486" s="69">
        <v>3.98662712297457</v>
      </c>
      <c r="H486" s="69">
        <v>0.74999999999999878</v>
      </c>
      <c r="I486" s="69" t="s">
        <v>181</v>
      </c>
      <c r="J486" s="69" t="s">
        <v>38</v>
      </c>
      <c r="K486" s="212" t="s">
        <v>48</v>
      </c>
      <c r="L486" s="186" t="s">
        <v>182</v>
      </c>
      <c r="M486" s="69" t="str">
        <f>CapacityTable[[#This Row],[Model]]&amp;CapacityTable[[#This Row],[Type]]&amp;CapacityTable[[#This Row],[T ext]]&amp;CapacityTable[[#This Row],[T water out]]&amp;CapacityTable[[#This Row],[Results origin]]</f>
        <v>BLW Mono 9.1Min power740Simulation values</v>
      </c>
    </row>
    <row r="487" spans="1:13" x14ac:dyDescent="0.25">
      <c r="A487" t="s">
        <v>25</v>
      </c>
      <c r="B487" s="68" t="s">
        <v>166</v>
      </c>
      <c r="C487" s="92">
        <v>7</v>
      </c>
      <c r="D487" s="68">
        <v>45</v>
      </c>
      <c r="E487" s="69">
        <v>2.6182188534274502</v>
      </c>
      <c r="F487" s="69">
        <v>0.75064959809443332</v>
      </c>
      <c r="G487" s="69">
        <v>3.4879374611988698</v>
      </c>
      <c r="H487" s="69">
        <v>0.74999999999999878</v>
      </c>
      <c r="I487" s="69" t="s">
        <v>181</v>
      </c>
      <c r="J487" s="69" t="s">
        <v>38</v>
      </c>
      <c r="K487" s="213" t="s">
        <v>183</v>
      </c>
      <c r="L487" s="69" t="s">
        <v>184</v>
      </c>
      <c r="M487" s="69" t="str">
        <f>CapacityTable[[#This Row],[Model]]&amp;CapacityTable[[#This Row],[Type]]&amp;CapacityTable[[#This Row],[T ext]]&amp;CapacityTable[[#This Row],[T water out]]&amp;CapacityTable[[#This Row],[Results origin]]</f>
        <v>BLW Mono 9.1Min power745Simulation values</v>
      </c>
    </row>
    <row r="488" spans="1:13" x14ac:dyDescent="0.25">
      <c r="A488" t="s">
        <v>25</v>
      </c>
      <c r="B488" s="68" t="s">
        <v>166</v>
      </c>
      <c r="C488" s="92">
        <v>7</v>
      </c>
      <c r="D488" s="68">
        <v>50</v>
      </c>
      <c r="E488" s="69">
        <v>2.5708854976059103</v>
      </c>
      <c r="F488" s="69">
        <v>0.83752522587120393</v>
      </c>
      <c r="G488" s="69">
        <v>3.0696215686299402</v>
      </c>
      <c r="H488" s="69">
        <v>0.74999999999999878</v>
      </c>
      <c r="I488" s="69" t="s">
        <v>181</v>
      </c>
      <c r="J488" s="69" t="s">
        <v>38</v>
      </c>
      <c r="K488" s="212" t="s">
        <v>48</v>
      </c>
      <c r="L488" s="186" t="s">
        <v>182</v>
      </c>
      <c r="M488" s="69" t="str">
        <f>CapacityTable[[#This Row],[Model]]&amp;CapacityTable[[#This Row],[Type]]&amp;CapacityTable[[#This Row],[T ext]]&amp;CapacityTable[[#This Row],[T water out]]&amp;CapacityTable[[#This Row],[Results origin]]</f>
        <v>BLW Mono 9.1Min power750Simulation values</v>
      </c>
    </row>
    <row r="489" spans="1:13" x14ac:dyDescent="0.25">
      <c r="A489" t="s">
        <v>25</v>
      </c>
      <c r="B489" s="68" t="s">
        <v>166</v>
      </c>
      <c r="C489" s="92">
        <v>7</v>
      </c>
      <c r="D489" s="68">
        <v>55</v>
      </c>
      <c r="E489" s="69">
        <v>2.7595575825058298</v>
      </c>
      <c r="F489" s="69">
        <v>1.0058662364566855</v>
      </c>
      <c r="G489" s="69">
        <v>2.74346377528963</v>
      </c>
      <c r="H489" s="69">
        <v>0.74999999999999878</v>
      </c>
      <c r="I489" s="69" t="s">
        <v>181</v>
      </c>
      <c r="J489" s="69" t="s">
        <v>38</v>
      </c>
      <c r="K489" s="213" t="s">
        <v>183</v>
      </c>
      <c r="L489" s="69" t="s">
        <v>184</v>
      </c>
      <c r="M489" s="69" t="str">
        <f>CapacityTable[[#This Row],[Model]]&amp;CapacityTable[[#This Row],[Type]]&amp;CapacityTable[[#This Row],[T ext]]&amp;CapacityTable[[#This Row],[T water out]]&amp;CapacityTable[[#This Row],[Results origin]]</f>
        <v>BLW Mono 9.1Min power755Simulation values</v>
      </c>
    </row>
    <row r="490" spans="1:13" x14ac:dyDescent="0.25">
      <c r="A490" t="s">
        <v>25</v>
      </c>
      <c r="B490" s="68" t="s">
        <v>166</v>
      </c>
      <c r="C490" s="92">
        <v>7</v>
      </c>
      <c r="D490" s="68">
        <v>60</v>
      </c>
      <c r="E490" s="69">
        <v>3.1293102644472501</v>
      </c>
      <c r="F490" s="69">
        <v>1.2523310988035357</v>
      </c>
      <c r="G490" s="69">
        <v>2.4987882736737599</v>
      </c>
      <c r="H490" s="69">
        <v>0.74999999999999878</v>
      </c>
      <c r="I490" s="69" t="s">
        <v>181</v>
      </c>
      <c r="J490" s="69" t="s">
        <v>38</v>
      </c>
      <c r="K490" s="212" t="s">
        <v>48</v>
      </c>
      <c r="L490" s="186" t="s">
        <v>182</v>
      </c>
      <c r="M490" s="69" t="str">
        <f>CapacityTable[[#This Row],[Model]]&amp;CapacityTable[[#This Row],[Type]]&amp;CapacityTable[[#This Row],[T ext]]&amp;CapacityTable[[#This Row],[T water out]]&amp;CapacityTable[[#This Row],[Results origin]]</f>
        <v>BLW Mono 9.1Min power760Simulation values</v>
      </c>
    </row>
    <row r="491" spans="1:13" x14ac:dyDescent="0.25">
      <c r="A491" t="s">
        <v>25</v>
      </c>
      <c r="B491" s="68" t="s">
        <v>166</v>
      </c>
      <c r="C491" s="92">
        <v>7</v>
      </c>
      <c r="D491" s="92">
        <v>65</v>
      </c>
      <c r="E491" s="69">
        <v>4.4180734259022998</v>
      </c>
      <c r="F491" s="69">
        <v>1.8791195355732508</v>
      </c>
      <c r="G491" s="69">
        <v>2.3511401708431001</v>
      </c>
      <c r="H491" s="69">
        <v>0.74999999999999878</v>
      </c>
      <c r="I491" s="69" t="s">
        <v>181</v>
      </c>
      <c r="J491" s="69" t="s">
        <v>38</v>
      </c>
      <c r="K491" s="213" t="s">
        <v>183</v>
      </c>
      <c r="L491" s="69" t="s">
        <v>184</v>
      </c>
      <c r="M491" s="69" t="str">
        <f>CapacityTable[[#This Row],[Model]]&amp;CapacityTable[[#This Row],[Type]]&amp;CapacityTable[[#This Row],[T ext]]&amp;CapacityTable[[#This Row],[T water out]]&amp;CapacityTable[[#This Row],[Results origin]]</f>
        <v>BLW Mono 9.1Min power765Simulation values</v>
      </c>
    </row>
    <row r="492" spans="1:13" x14ac:dyDescent="0.25">
      <c r="A492" t="s">
        <v>25</v>
      </c>
      <c r="B492" s="68" t="s">
        <v>166</v>
      </c>
      <c r="C492" s="92">
        <v>7</v>
      </c>
      <c r="D492" s="68">
        <v>70</v>
      </c>
      <c r="E492" s="69">
        <v>4.3369215762295301</v>
      </c>
      <c r="F492" s="69">
        <v>2.0455312048040728</v>
      </c>
      <c r="G492" s="69">
        <v>2.1201933101993098</v>
      </c>
      <c r="H492" s="69">
        <v>0.74999999999999878</v>
      </c>
      <c r="I492" s="69" t="s">
        <v>181</v>
      </c>
      <c r="J492" s="69" t="s">
        <v>38</v>
      </c>
      <c r="K492" s="212" t="s">
        <v>48</v>
      </c>
      <c r="L492" s="186" t="s">
        <v>182</v>
      </c>
      <c r="M492" s="69" t="str">
        <f>CapacityTable[[#This Row],[Model]]&amp;CapacityTable[[#This Row],[Type]]&amp;CapacityTable[[#This Row],[T ext]]&amp;CapacityTable[[#This Row],[T water out]]&amp;CapacityTable[[#This Row],[Results origin]]</f>
        <v>BLW Mono 9.1Min power770Simulation values</v>
      </c>
    </row>
    <row r="493" spans="1:13" x14ac:dyDescent="0.25">
      <c r="A493" t="s">
        <v>25</v>
      </c>
      <c r="B493" s="68" t="s">
        <v>166</v>
      </c>
      <c r="C493" s="92">
        <v>10</v>
      </c>
      <c r="D493" s="68">
        <v>25</v>
      </c>
      <c r="E493" s="69"/>
      <c r="F493" s="69"/>
      <c r="G493" s="69"/>
      <c r="H493" s="69"/>
      <c r="I493" s="69" t="s">
        <v>181</v>
      </c>
      <c r="J493" s="69" t="s">
        <v>38</v>
      </c>
      <c r="K493" s="212" t="s">
        <v>48</v>
      </c>
      <c r="L493" s="186" t="s">
        <v>182</v>
      </c>
      <c r="M493" s="69" t="str">
        <f>CapacityTable[[#This Row],[Model]]&amp;CapacityTable[[#This Row],[Type]]&amp;CapacityTable[[#This Row],[T ext]]&amp;CapacityTable[[#This Row],[T water out]]&amp;CapacityTable[[#This Row],[Results origin]]</f>
        <v>BLW Mono 9.1Min power1025Simulation values</v>
      </c>
    </row>
    <row r="494" spans="1:13" x14ac:dyDescent="0.25">
      <c r="A494" t="s">
        <v>25</v>
      </c>
      <c r="B494" s="68" t="s">
        <v>166</v>
      </c>
      <c r="C494" s="92">
        <v>10</v>
      </c>
      <c r="D494" s="68">
        <v>40</v>
      </c>
      <c r="E494" s="69"/>
      <c r="F494" s="69"/>
      <c r="G494" s="69"/>
      <c r="H494" s="69"/>
      <c r="I494" s="69" t="s">
        <v>181</v>
      </c>
      <c r="J494" s="69" t="s">
        <v>38</v>
      </c>
      <c r="K494" s="212" t="s">
        <v>48</v>
      </c>
      <c r="L494" s="186" t="s">
        <v>182</v>
      </c>
      <c r="M494" s="69" t="str">
        <f>CapacityTable[[#This Row],[Model]]&amp;CapacityTable[[#This Row],[Type]]&amp;CapacityTable[[#This Row],[T ext]]&amp;CapacityTable[[#This Row],[T water out]]&amp;CapacityTable[[#This Row],[Results origin]]</f>
        <v>BLW Mono 9.1Min power1040Simulation values</v>
      </c>
    </row>
    <row r="495" spans="1:13" x14ac:dyDescent="0.25">
      <c r="A495" t="s">
        <v>25</v>
      </c>
      <c r="B495" s="68" t="s">
        <v>166</v>
      </c>
      <c r="C495" s="92">
        <v>10</v>
      </c>
      <c r="D495" s="68">
        <v>50</v>
      </c>
      <c r="E495" s="69"/>
      <c r="F495" s="69"/>
      <c r="G495" s="69"/>
      <c r="H495" s="69"/>
      <c r="I495" s="69" t="s">
        <v>181</v>
      </c>
      <c r="J495" s="69" t="s">
        <v>38</v>
      </c>
      <c r="K495" s="212" t="s">
        <v>48</v>
      </c>
      <c r="L495" s="186" t="s">
        <v>182</v>
      </c>
      <c r="M495" s="69" t="str">
        <f>CapacityTable[[#This Row],[Model]]&amp;CapacityTable[[#This Row],[Type]]&amp;CapacityTable[[#This Row],[T ext]]&amp;CapacityTable[[#This Row],[T water out]]&amp;CapacityTable[[#This Row],[Results origin]]</f>
        <v>BLW Mono 9.1Min power1050Simulation values</v>
      </c>
    </row>
    <row r="496" spans="1:13" x14ac:dyDescent="0.25">
      <c r="A496" t="s">
        <v>25</v>
      </c>
      <c r="B496" s="68" t="s">
        <v>166</v>
      </c>
      <c r="C496" s="92">
        <v>10</v>
      </c>
      <c r="D496" s="68">
        <v>60</v>
      </c>
      <c r="E496" s="69"/>
      <c r="F496" s="69"/>
      <c r="G496" s="69"/>
      <c r="H496" s="69"/>
      <c r="I496" s="69" t="s">
        <v>181</v>
      </c>
      <c r="J496" s="69" t="s">
        <v>38</v>
      </c>
      <c r="K496" s="212" t="s">
        <v>48</v>
      </c>
      <c r="L496" s="186" t="s">
        <v>182</v>
      </c>
      <c r="M496" s="69" t="str">
        <f>CapacityTable[[#This Row],[Model]]&amp;CapacityTable[[#This Row],[Type]]&amp;CapacityTable[[#This Row],[T ext]]&amp;CapacityTable[[#This Row],[T water out]]&amp;CapacityTable[[#This Row],[Results origin]]</f>
        <v>BLW Mono 9.1Min power1060Simulation values</v>
      </c>
    </row>
    <row r="497" spans="1:13" x14ac:dyDescent="0.25">
      <c r="A497" t="s">
        <v>25</v>
      </c>
      <c r="B497" s="68" t="s">
        <v>166</v>
      </c>
      <c r="C497" s="92">
        <v>10</v>
      </c>
      <c r="D497" s="92">
        <v>65</v>
      </c>
      <c r="E497" s="69"/>
      <c r="F497" s="69"/>
      <c r="G497" s="69"/>
      <c r="H497" s="69"/>
      <c r="I497" s="69" t="s">
        <v>181</v>
      </c>
      <c r="J497" s="69" t="s">
        <v>38</v>
      </c>
      <c r="K497" s="213" t="s">
        <v>183</v>
      </c>
      <c r="L497" s="69" t="s">
        <v>184</v>
      </c>
      <c r="M497" s="69" t="str">
        <f>CapacityTable[[#This Row],[Model]]&amp;CapacityTable[[#This Row],[Type]]&amp;CapacityTable[[#This Row],[T ext]]&amp;CapacityTable[[#This Row],[T water out]]&amp;CapacityTable[[#This Row],[Results origin]]</f>
        <v>BLW Mono 9.1Min power1065Simulation values</v>
      </c>
    </row>
    <row r="498" spans="1:13" x14ac:dyDescent="0.25">
      <c r="A498" t="s">
        <v>25</v>
      </c>
      <c r="B498" s="68" t="s">
        <v>166</v>
      </c>
      <c r="C498" s="92">
        <v>10</v>
      </c>
      <c r="D498" s="68">
        <v>70</v>
      </c>
      <c r="E498" s="69"/>
      <c r="F498" s="69"/>
      <c r="G498" s="69"/>
      <c r="H498" s="69"/>
      <c r="I498" s="69" t="s">
        <v>181</v>
      </c>
      <c r="J498" s="69" t="s">
        <v>38</v>
      </c>
      <c r="K498" s="212" t="s">
        <v>48</v>
      </c>
      <c r="L498" s="186" t="s">
        <v>182</v>
      </c>
      <c r="M498" s="69" t="str">
        <f>CapacityTable[[#This Row],[Model]]&amp;CapacityTable[[#This Row],[Type]]&amp;CapacityTable[[#This Row],[T ext]]&amp;CapacityTable[[#This Row],[T water out]]&amp;CapacityTable[[#This Row],[Results origin]]</f>
        <v>BLW Mono 9.1Min power1070Simulation values</v>
      </c>
    </row>
    <row r="499" spans="1:13" x14ac:dyDescent="0.25">
      <c r="A499" t="s">
        <v>25</v>
      </c>
      <c r="B499" s="68" t="s">
        <v>166</v>
      </c>
      <c r="C499" s="92">
        <v>12</v>
      </c>
      <c r="D499" s="68">
        <v>25</v>
      </c>
      <c r="E499" s="69">
        <v>3.3222473016038796</v>
      </c>
      <c r="F499" s="69">
        <v>0.44808311575002313</v>
      </c>
      <c r="G499" s="69">
        <v>7.4143550266180904</v>
      </c>
      <c r="H499" s="69">
        <v>0.74999999999999878</v>
      </c>
      <c r="I499" s="69" t="s">
        <v>181</v>
      </c>
      <c r="J499" s="69" t="s">
        <v>38</v>
      </c>
      <c r="K499" s="212" t="s">
        <v>48</v>
      </c>
      <c r="L499" s="186" t="s">
        <v>182</v>
      </c>
      <c r="M499" s="69" t="str">
        <f>CapacityTable[[#This Row],[Model]]&amp;CapacityTable[[#This Row],[Type]]&amp;CapacityTable[[#This Row],[T ext]]&amp;CapacityTable[[#This Row],[T water out]]&amp;CapacityTable[[#This Row],[Results origin]]</f>
        <v>BLW Mono 9.1Min power1225Simulation values</v>
      </c>
    </row>
    <row r="500" spans="1:13" x14ac:dyDescent="0.25">
      <c r="A500" t="s">
        <v>25</v>
      </c>
      <c r="B500" s="68" t="s">
        <v>166</v>
      </c>
      <c r="C500" s="92">
        <v>12</v>
      </c>
      <c r="D500" s="68">
        <v>35</v>
      </c>
      <c r="E500" s="69">
        <v>3.1613200202134499</v>
      </c>
      <c r="F500" s="69">
        <v>0.57425468518387257</v>
      </c>
      <c r="G500" s="69">
        <v>5.5050835487762999</v>
      </c>
      <c r="H500" s="69">
        <v>0.74999999999999878</v>
      </c>
      <c r="I500" s="69" t="s">
        <v>181</v>
      </c>
      <c r="J500" s="69" t="s">
        <v>38</v>
      </c>
      <c r="K500" s="213" t="s">
        <v>183</v>
      </c>
      <c r="L500" s="69" t="s">
        <v>184</v>
      </c>
      <c r="M500" s="69" t="str">
        <f>CapacityTable[[#This Row],[Model]]&amp;CapacityTable[[#This Row],[Type]]&amp;CapacityTable[[#This Row],[T ext]]&amp;CapacityTable[[#This Row],[T water out]]&amp;CapacityTable[[#This Row],[Results origin]]</f>
        <v>BLW Mono 9.1Min power1235Simulation values</v>
      </c>
    </row>
    <row r="501" spans="1:13" x14ac:dyDescent="0.25">
      <c r="A501" t="s">
        <v>25</v>
      </c>
      <c r="B501" s="68" t="s">
        <v>166</v>
      </c>
      <c r="C501" s="92">
        <v>12</v>
      </c>
      <c r="D501" s="68">
        <v>40</v>
      </c>
      <c r="E501" s="69">
        <v>3.0844264825785901</v>
      </c>
      <c r="F501" s="69">
        <v>0.64939866214034736</v>
      </c>
      <c r="G501" s="69">
        <v>4.7496655943402404</v>
      </c>
      <c r="H501" s="69">
        <v>0.74999999999999878</v>
      </c>
      <c r="I501" s="69" t="s">
        <v>181</v>
      </c>
      <c r="J501" s="69" t="s">
        <v>38</v>
      </c>
      <c r="K501" s="212" t="s">
        <v>48</v>
      </c>
      <c r="L501" s="186" t="s">
        <v>182</v>
      </c>
      <c r="M501" s="69" t="str">
        <f>CapacityTable[[#This Row],[Model]]&amp;CapacityTable[[#This Row],[Type]]&amp;CapacityTable[[#This Row],[T ext]]&amp;CapacityTable[[#This Row],[T water out]]&amp;CapacityTable[[#This Row],[Results origin]]</f>
        <v>BLW Mono 9.1Min power1240Simulation values</v>
      </c>
    </row>
    <row r="502" spans="1:13" x14ac:dyDescent="0.25">
      <c r="A502" t="s">
        <v>25</v>
      </c>
      <c r="B502" s="68" t="s">
        <v>166</v>
      </c>
      <c r="C502" s="92">
        <v>12</v>
      </c>
      <c r="D502" s="68">
        <v>45</v>
      </c>
      <c r="E502" s="69">
        <v>3.0118534779416</v>
      </c>
      <c r="F502" s="69">
        <v>0.73249809381161801</v>
      </c>
      <c r="G502" s="69">
        <v>4.1117560624207998</v>
      </c>
      <c r="H502" s="69">
        <v>0.74999999999999878</v>
      </c>
      <c r="I502" s="69" t="s">
        <v>181</v>
      </c>
      <c r="J502" s="69" t="s">
        <v>38</v>
      </c>
      <c r="K502" s="213" t="s">
        <v>183</v>
      </c>
      <c r="L502" s="69" t="s">
        <v>184</v>
      </c>
      <c r="M502" s="69" t="str">
        <f>CapacityTable[[#This Row],[Model]]&amp;CapacityTable[[#This Row],[Type]]&amp;CapacityTable[[#This Row],[T ext]]&amp;CapacityTable[[#This Row],[T water out]]&amp;CapacityTable[[#This Row],[Results origin]]</f>
        <v>BLW Mono 9.1Min power1245Simulation values</v>
      </c>
    </row>
    <row r="503" spans="1:13" x14ac:dyDescent="0.25">
      <c r="A503" t="s">
        <v>25</v>
      </c>
      <c r="B503" s="68" t="s">
        <v>166</v>
      </c>
      <c r="C503" s="92">
        <v>12</v>
      </c>
      <c r="D503" s="68">
        <v>50</v>
      </c>
      <c r="E503" s="69">
        <v>2.9445791580869498</v>
      </c>
      <c r="F503" s="69">
        <v>0.82350604158757401</v>
      </c>
      <c r="G503" s="69">
        <v>3.5756618766394501</v>
      </c>
      <c r="H503" s="69">
        <v>0.74999999999999878</v>
      </c>
      <c r="I503" s="69" t="s">
        <v>181</v>
      </c>
      <c r="J503" s="69" t="s">
        <v>38</v>
      </c>
      <c r="K503" s="212" t="s">
        <v>48</v>
      </c>
      <c r="L503" s="186" t="s">
        <v>182</v>
      </c>
      <c r="M503" s="69" t="str">
        <f>CapacityTable[[#This Row],[Model]]&amp;CapacityTable[[#This Row],[Type]]&amp;CapacityTable[[#This Row],[T ext]]&amp;CapacityTable[[#This Row],[T water out]]&amp;CapacityTable[[#This Row],[Results origin]]</f>
        <v>BLW Mono 9.1Min power1250Simulation values</v>
      </c>
    </row>
    <row r="504" spans="1:13" x14ac:dyDescent="0.25">
      <c r="A504" t="s">
        <v>25</v>
      </c>
      <c r="B504" s="68" t="s">
        <v>166</v>
      </c>
      <c r="C504" s="92">
        <v>12</v>
      </c>
      <c r="D504" s="68">
        <v>55</v>
      </c>
      <c r="E504" s="69">
        <v>3.1430069877475098</v>
      </c>
      <c r="F504" s="69">
        <v>0.99865386902009123</v>
      </c>
      <c r="G504" s="69">
        <v>3.1472435898451199</v>
      </c>
      <c r="H504" s="69">
        <v>0.74999999999999878</v>
      </c>
      <c r="I504" s="69" t="s">
        <v>181</v>
      </c>
      <c r="J504" s="69" t="s">
        <v>38</v>
      </c>
      <c r="K504" s="213" t="s">
        <v>183</v>
      </c>
      <c r="L504" s="69" t="s">
        <v>184</v>
      </c>
      <c r="M504" s="69" t="str">
        <f>CapacityTable[[#This Row],[Model]]&amp;CapacityTable[[#This Row],[Type]]&amp;CapacityTable[[#This Row],[T ext]]&amp;CapacityTable[[#This Row],[T water out]]&amp;CapacityTable[[#This Row],[Results origin]]</f>
        <v>BLW Mono 9.1Min power1255Simulation values</v>
      </c>
    </row>
    <row r="505" spans="1:13" x14ac:dyDescent="0.25">
      <c r="A505" t="s">
        <v>25</v>
      </c>
      <c r="B505" s="68" t="s">
        <v>166</v>
      </c>
      <c r="C505" s="92">
        <v>12</v>
      </c>
      <c r="D505" s="68">
        <v>60</v>
      </c>
      <c r="E505" s="69">
        <v>3.5485032569599002</v>
      </c>
      <c r="F505" s="69">
        <v>1.2542496672839989</v>
      </c>
      <c r="G505" s="69">
        <v>2.8291841325690501</v>
      </c>
      <c r="H505" s="69">
        <v>0.74999999999999878</v>
      </c>
      <c r="I505" s="69" t="s">
        <v>181</v>
      </c>
      <c r="J505" s="69" t="s">
        <v>38</v>
      </c>
      <c r="K505" s="212" t="s">
        <v>48</v>
      </c>
      <c r="L505" s="186" t="s">
        <v>182</v>
      </c>
      <c r="M505" s="69" t="str">
        <f>CapacityTable[[#This Row],[Model]]&amp;CapacityTable[[#This Row],[Type]]&amp;CapacityTable[[#This Row],[T ext]]&amp;CapacityTable[[#This Row],[T water out]]&amp;CapacityTable[[#This Row],[Results origin]]</f>
        <v>BLW Mono 9.1Min power1260Simulation values</v>
      </c>
    </row>
    <row r="506" spans="1:13" x14ac:dyDescent="0.25">
      <c r="A506" t="s">
        <v>25</v>
      </c>
      <c r="B506" s="68" t="s">
        <v>166</v>
      </c>
      <c r="C506" s="92">
        <v>12</v>
      </c>
      <c r="D506" s="92">
        <v>65</v>
      </c>
      <c r="E506" s="69">
        <v>4.9919641806995294</v>
      </c>
      <c r="F506" s="69">
        <v>1.896455331214248</v>
      </c>
      <c r="G506" s="69">
        <v>2.6322603535846598</v>
      </c>
      <c r="H506" s="69">
        <v>0.74999999999999878</v>
      </c>
      <c r="I506" s="69" t="s">
        <v>181</v>
      </c>
      <c r="J506" s="69" t="s">
        <v>38</v>
      </c>
      <c r="K506" s="213" t="s">
        <v>183</v>
      </c>
      <c r="L506" s="69" t="s">
        <v>184</v>
      </c>
      <c r="M506" s="69" t="str">
        <f>CapacityTable[[#This Row],[Model]]&amp;CapacityTable[[#This Row],[Type]]&amp;CapacityTable[[#This Row],[T ext]]&amp;CapacityTable[[#This Row],[T water out]]&amp;CapacityTable[[#This Row],[Results origin]]</f>
        <v>BLW Mono 9.1Min power1265Simulation values</v>
      </c>
    </row>
    <row r="507" spans="1:13" x14ac:dyDescent="0.25">
      <c r="A507" t="s">
        <v>25</v>
      </c>
      <c r="B507" s="68" t="s">
        <v>166</v>
      </c>
      <c r="C507" s="92">
        <v>12</v>
      </c>
      <c r="D507" s="68">
        <v>70</v>
      </c>
      <c r="E507" s="69">
        <v>4.8760084310946405</v>
      </c>
      <c r="F507" s="69">
        <v>2.0740479521736992</v>
      </c>
      <c r="G507" s="69">
        <v>2.35096224558567</v>
      </c>
      <c r="H507" s="69">
        <v>0.74999999999999878</v>
      </c>
      <c r="I507" s="69" t="s">
        <v>181</v>
      </c>
      <c r="J507" s="69" t="s">
        <v>38</v>
      </c>
      <c r="K507" s="212" t="s">
        <v>48</v>
      </c>
      <c r="L507" s="186" t="s">
        <v>182</v>
      </c>
      <c r="M507" s="69" t="str">
        <f>CapacityTable[[#This Row],[Model]]&amp;CapacityTable[[#This Row],[Type]]&amp;CapacityTable[[#This Row],[T ext]]&amp;CapacityTable[[#This Row],[T water out]]&amp;CapacityTable[[#This Row],[Results origin]]</f>
        <v>BLW Mono 9.1Min power1270Simulation values</v>
      </c>
    </row>
    <row r="508" spans="1:13" x14ac:dyDescent="0.25">
      <c r="A508" t="s">
        <v>25</v>
      </c>
      <c r="B508" s="68" t="s">
        <v>166</v>
      </c>
      <c r="C508" s="92">
        <v>15</v>
      </c>
      <c r="D508" s="68">
        <v>25</v>
      </c>
      <c r="E508" s="69">
        <v>3.6103066891186502</v>
      </c>
      <c r="F508" s="69">
        <v>0.44385476792638356</v>
      </c>
      <c r="G508" s="69">
        <v>8.1339819914189704</v>
      </c>
      <c r="H508" s="69">
        <v>0.74999999999999878</v>
      </c>
      <c r="I508" s="69" t="s">
        <v>181</v>
      </c>
      <c r="J508" s="69" t="s">
        <v>38</v>
      </c>
      <c r="K508" s="212" t="s">
        <v>48</v>
      </c>
      <c r="L508" s="186" t="s">
        <v>182</v>
      </c>
      <c r="M508" s="69" t="str">
        <f>CapacityTable[[#This Row],[Model]]&amp;CapacityTable[[#This Row],[Type]]&amp;CapacityTable[[#This Row],[T ext]]&amp;CapacityTable[[#This Row],[T water out]]&amp;CapacityTable[[#This Row],[Results origin]]</f>
        <v>BLW Mono 9.1Min power1525Simulation values</v>
      </c>
    </row>
    <row r="509" spans="1:13" x14ac:dyDescent="0.25">
      <c r="A509" t="s">
        <v>25</v>
      </c>
      <c r="B509" s="68" t="s">
        <v>166</v>
      </c>
      <c r="C509" s="92">
        <v>15</v>
      </c>
      <c r="D509" s="68">
        <v>35</v>
      </c>
      <c r="E509" s="69">
        <v>3.43810196928652</v>
      </c>
      <c r="F509" s="69">
        <v>0.56689462059276896</v>
      </c>
      <c r="G509" s="69">
        <v>6.0647990726944903</v>
      </c>
      <c r="H509" s="69">
        <v>0.74999999999999878</v>
      </c>
      <c r="I509" s="69" t="s">
        <v>181</v>
      </c>
      <c r="J509" s="69" t="s">
        <v>38</v>
      </c>
      <c r="K509" s="212" t="s">
        <v>48</v>
      </c>
      <c r="L509" s="186" t="s">
        <v>182</v>
      </c>
      <c r="M509" s="69" t="str">
        <f>CapacityTable[[#This Row],[Model]]&amp;CapacityTable[[#This Row],[Type]]&amp;CapacityTable[[#This Row],[T ext]]&amp;CapacityTable[[#This Row],[T water out]]&amp;CapacityTable[[#This Row],[Results origin]]</f>
        <v>BLW Mono 9.1Min power1535Simulation values</v>
      </c>
    </row>
    <row r="510" spans="1:13" x14ac:dyDescent="0.25">
      <c r="A510" t="s">
        <v>25</v>
      </c>
      <c r="B510" s="68" t="s">
        <v>166</v>
      </c>
      <c r="C510" s="92">
        <v>15</v>
      </c>
      <c r="D510" s="68">
        <v>40</v>
      </c>
      <c r="E510" s="69">
        <v>3.3538531463607999</v>
      </c>
      <c r="F510" s="69">
        <v>0.64167751672911488</v>
      </c>
      <c r="G510" s="69">
        <v>5.2266957450164702</v>
      </c>
      <c r="H510" s="69">
        <v>0.74999999999999878</v>
      </c>
      <c r="I510" s="69" t="s">
        <v>181</v>
      </c>
      <c r="J510" s="69" t="s">
        <v>38</v>
      </c>
      <c r="K510" s="212" t="s">
        <v>48</v>
      </c>
      <c r="L510" s="186" t="s">
        <v>182</v>
      </c>
      <c r="M510" s="69" t="str">
        <f>CapacityTable[[#This Row],[Model]]&amp;CapacityTable[[#This Row],[Type]]&amp;CapacityTable[[#This Row],[T ext]]&amp;CapacityTable[[#This Row],[T water out]]&amp;CapacityTable[[#This Row],[Results origin]]</f>
        <v>BLW Mono 9.1Min power1540Simulation values</v>
      </c>
    </row>
    <row r="511" spans="1:13" x14ac:dyDescent="0.25">
      <c r="A511" t="s">
        <v>25</v>
      </c>
      <c r="B511" s="68" t="s">
        <v>166</v>
      </c>
      <c r="C511" s="92">
        <v>15</v>
      </c>
      <c r="D511" s="68">
        <v>45</v>
      </c>
      <c r="E511" s="69">
        <v>3.2702914242804098</v>
      </c>
      <c r="F511" s="69">
        <v>0.72546676701848478</v>
      </c>
      <c r="G511" s="69">
        <v>4.5078445670511096</v>
      </c>
      <c r="H511" s="69">
        <v>0.74999999999999878</v>
      </c>
      <c r="I511" s="69" t="s">
        <v>181</v>
      </c>
      <c r="J511" s="69" t="s">
        <v>38</v>
      </c>
      <c r="K511" s="212" t="s">
        <v>48</v>
      </c>
      <c r="L511" s="186" t="s">
        <v>182</v>
      </c>
      <c r="M511" s="69" t="str">
        <f>CapacityTable[[#This Row],[Model]]&amp;CapacityTable[[#This Row],[Type]]&amp;CapacityTable[[#This Row],[T ext]]&amp;CapacityTable[[#This Row],[T water out]]&amp;CapacityTable[[#This Row],[Results origin]]</f>
        <v>BLW Mono 9.1Min power1545Simulation values</v>
      </c>
    </row>
    <row r="512" spans="1:13" x14ac:dyDescent="0.25">
      <c r="A512" t="s">
        <v>25</v>
      </c>
      <c r="B512" s="68" t="s">
        <v>166</v>
      </c>
      <c r="C512" s="92">
        <v>15</v>
      </c>
      <c r="D512" s="68">
        <v>50</v>
      </c>
      <c r="E512" s="69">
        <v>3.1916810823204602</v>
      </c>
      <c r="F512" s="69">
        <v>0.81797654371154049</v>
      </c>
      <c r="G512" s="69">
        <v>3.9019225023719102</v>
      </c>
      <c r="H512" s="69">
        <v>0.74999999999999878</v>
      </c>
      <c r="I512" s="69" t="s">
        <v>181</v>
      </c>
      <c r="J512" s="69" t="s">
        <v>38</v>
      </c>
      <c r="K512" s="212" t="s">
        <v>48</v>
      </c>
      <c r="L512" s="186" t="s">
        <v>182</v>
      </c>
      <c r="M512" s="69" t="str">
        <f>CapacityTable[[#This Row],[Model]]&amp;CapacityTable[[#This Row],[Type]]&amp;CapacityTable[[#This Row],[T ext]]&amp;CapacityTable[[#This Row],[T water out]]&amp;CapacityTable[[#This Row],[Results origin]]</f>
        <v>BLW Mono 9.1Min power1550Simulation values</v>
      </c>
    </row>
    <row r="513" spans="1:13" x14ac:dyDescent="0.25">
      <c r="A513" t="s">
        <v>25</v>
      </c>
      <c r="B513" s="68" t="s">
        <v>166</v>
      </c>
      <c r="C513" s="92">
        <v>15</v>
      </c>
      <c r="D513" s="68">
        <v>55</v>
      </c>
      <c r="E513" s="69">
        <v>3.3924919008933396</v>
      </c>
      <c r="F513" s="69">
        <v>0.99624494894573712</v>
      </c>
      <c r="G513" s="69">
        <v>3.4052788970056</v>
      </c>
      <c r="H513" s="69">
        <v>0.74999999999999878</v>
      </c>
      <c r="I513" s="69" t="s">
        <v>181</v>
      </c>
      <c r="J513" s="69" t="s">
        <v>38</v>
      </c>
      <c r="K513" s="212" t="s">
        <v>48</v>
      </c>
      <c r="L513" s="186" t="s">
        <v>186</v>
      </c>
      <c r="M513" s="69" t="str">
        <f>CapacityTable[[#This Row],[Model]]&amp;CapacityTable[[#This Row],[Type]]&amp;CapacityTable[[#This Row],[T ext]]&amp;CapacityTable[[#This Row],[T water out]]&amp;CapacityTable[[#This Row],[Results origin]]</f>
        <v>BLW Mono 9.1Min power1555Simulation values</v>
      </c>
    </row>
    <row r="514" spans="1:13" x14ac:dyDescent="0.25">
      <c r="A514" t="s">
        <v>25</v>
      </c>
      <c r="B514" s="68" t="s">
        <v>166</v>
      </c>
      <c r="C514" s="92">
        <v>15</v>
      </c>
      <c r="D514" s="68">
        <v>60</v>
      </c>
      <c r="E514" s="69">
        <v>3.8101040626042</v>
      </c>
      <c r="F514" s="69">
        <v>1.2568544385941594</v>
      </c>
      <c r="G514" s="69">
        <v>3.03146008448357</v>
      </c>
      <c r="H514" s="69">
        <v>0.74999999999999878</v>
      </c>
      <c r="I514" s="69" t="s">
        <v>181</v>
      </c>
      <c r="J514" s="69" t="s">
        <v>38</v>
      </c>
      <c r="K514" s="212" t="s">
        <v>48</v>
      </c>
      <c r="L514" s="186" t="s">
        <v>182</v>
      </c>
      <c r="M514" s="69" t="str">
        <f>CapacityTable[[#This Row],[Model]]&amp;CapacityTable[[#This Row],[Type]]&amp;CapacityTable[[#This Row],[T ext]]&amp;CapacityTable[[#This Row],[T water out]]&amp;CapacityTable[[#This Row],[Results origin]]</f>
        <v>BLW Mono 9.1Min power1560Simulation values</v>
      </c>
    </row>
    <row r="515" spans="1:13" x14ac:dyDescent="0.25">
      <c r="A515" t="s">
        <v>25</v>
      </c>
      <c r="B515" s="68" t="s">
        <v>166</v>
      </c>
      <c r="C515" s="92">
        <v>15</v>
      </c>
      <c r="D515" s="68">
        <v>65</v>
      </c>
      <c r="E515" s="69">
        <v>5.2699497982248502</v>
      </c>
      <c r="F515" s="69">
        <v>1.9118417005856516</v>
      </c>
      <c r="G515" s="69">
        <v>2.7564781104055398</v>
      </c>
      <c r="H515" s="69">
        <v>0.74999999999999878</v>
      </c>
      <c r="I515" s="69" t="s">
        <v>181</v>
      </c>
      <c r="J515" s="69" t="s">
        <v>38</v>
      </c>
      <c r="K515" s="212" t="s">
        <v>48</v>
      </c>
      <c r="L515" s="186" t="s">
        <v>182</v>
      </c>
      <c r="M515" s="69" t="str">
        <f>CapacityTable[[#This Row],[Model]]&amp;CapacityTable[[#This Row],[Type]]&amp;CapacityTable[[#This Row],[T ext]]&amp;CapacityTable[[#This Row],[T water out]]&amp;CapacityTable[[#This Row],[Results origin]]</f>
        <v>BLW Mono 9.1Min power1565Simulation values</v>
      </c>
    </row>
    <row r="516" spans="1:13" x14ac:dyDescent="0.25">
      <c r="A516" t="s">
        <v>25</v>
      </c>
      <c r="B516" s="68" t="s">
        <v>166</v>
      </c>
      <c r="C516" s="92">
        <v>15</v>
      </c>
      <c r="D516" s="68">
        <v>70</v>
      </c>
      <c r="E516" s="69">
        <v>5.1548416942633501</v>
      </c>
      <c r="F516" s="69">
        <v>2.0927698889974473</v>
      </c>
      <c r="G516" s="69">
        <v>2.4631669833193199</v>
      </c>
      <c r="H516" s="69">
        <v>0.74999999999999878</v>
      </c>
      <c r="I516" s="69" t="s">
        <v>181</v>
      </c>
      <c r="J516" s="69" t="s">
        <v>38</v>
      </c>
      <c r="K516" s="212" t="s">
        <v>48</v>
      </c>
      <c r="L516" s="186" t="s">
        <v>182</v>
      </c>
      <c r="M516" s="69" t="str">
        <f>CapacityTable[[#This Row],[Model]]&amp;CapacityTable[[#This Row],[Type]]&amp;CapacityTable[[#This Row],[T ext]]&amp;CapacityTable[[#This Row],[T water out]]&amp;CapacityTable[[#This Row],[Results origin]]</f>
        <v>BLW Mono 9.1Min power1570Simulation values</v>
      </c>
    </row>
    <row r="517" spans="1:13" x14ac:dyDescent="0.25">
      <c r="A517" t="s">
        <v>25</v>
      </c>
      <c r="B517" s="68" t="s">
        <v>166</v>
      </c>
      <c r="C517" s="92">
        <v>20</v>
      </c>
      <c r="D517" s="68">
        <v>25</v>
      </c>
      <c r="E517" s="69">
        <v>4.0699803433311201</v>
      </c>
      <c r="F517" s="69">
        <v>0.44393999571279907</v>
      </c>
      <c r="G517" s="69">
        <v>9.1678613836004494</v>
      </c>
      <c r="H517" s="69">
        <v>0.74999999999999878</v>
      </c>
      <c r="I517" s="69" t="s">
        <v>181</v>
      </c>
      <c r="J517" s="69" t="s">
        <v>38</v>
      </c>
      <c r="K517" s="212" t="s">
        <v>48</v>
      </c>
      <c r="L517" s="186" t="s">
        <v>182</v>
      </c>
      <c r="M517" s="69" t="str">
        <f>CapacityTable[[#This Row],[Model]]&amp;CapacityTable[[#This Row],[Type]]&amp;CapacityTable[[#This Row],[T ext]]&amp;CapacityTable[[#This Row],[T water out]]&amp;CapacityTable[[#This Row],[Results origin]]</f>
        <v>BLW Mono 9.1Min power2025Simulation values</v>
      </c>
    </row>
    <row r="518" spans="1:13" x14ac:dyDescent="0.25">
      <c r="A518" t="s">
        <v>25</v>
      </c>
      <c r="B518" s="68" t="s">
        <v>166</v>
      </c>
      <c r="C518" s="92">
        <v>20</v>
      </c>
      <c r="D518" s="68">
        <v>35</v>
      </c>
      <c r="E518" s="69">
        <v>3.8746789570732698</v>
      </c>
      <c r="F518" s="69">
        <v>0.5615909671191045</v>
      </c>
      <c r="G518" s="69">
        <v>6.8994680896488001</v>
      </c>
      <c r="H518" s="69">
        <v>0.74999999999999878</v>
      </c>
      <c r="I518" s="69" t="s">
        <v>181</v>
      </c>
      <c r="J518" s="69" t="s">
        <v>38</v>
      </c>
      <c r="K518" s="213" t="s">
        <v>183</v>
      </c>
      <c r="L518" s="69" t="s">
        <v>184</v>
      </c>
      <c r="M518" s="69" t="str">
        <f>CapacityTable[[#This Row],[Model]]&amp;CapacityTable[[#This Row],[Type]]&amp;CapacityTable[[#This Row],[T ext]]&amp;CapacityTable[[#This Row],[T water out]]&amp;CapacityTable[[#This Row],[Results origin]]</f>
        <v>BLW Mono 9.1Min power2035Simulation values</v>
      </c>
    </row>
    <row r="519" spans="1:13" x14ac:dyDescent="0.25">
      <c r="A519" t="s">
        <v>25</v>
      </c>
      <c r="B519" s="68" t="s">
        <v>166</v>
      </c>
      <c r="C519" s="92">
        <v>20</v>
      </c>
      <c r="D519" s="68">
        <v>40</v>
      </c>
      <c r="E519" s="69">
        <v>3.7753376059329797</v>
      </c>
      <c r="F519" s="69">
        <v>0.63548998068305229</v>
      </c>
      <c r="G519" s="69">
        <v>5.9408294712610301</v>
      </c>
      <c r="H519" s="69">
        <v>0.74999999999999878</v>
      </c>
      <c r="I519" s="69" t="s">
        <v>181</v>
      </c>
      <c r="J519" s="69" t="s">
        <v>38</v>
      </c>
      <c r="K519" s="212" t="s">
        <v>48</v>
      </c>
      <c r="L519" s="186" t="s">
        <v>182</v>
      </c>
      <c r="M519" s="69" t="str">
        <f>CapacityTable[[#This Row],[Model]]&amp;CapacityTable[[#This Row],[Type]]&amp;CapacityTable[[#This Row],[T ext]]&amp;CapacityTable[[#This Row],[T water out]]&amp;CapacityTable[[#This Row],[Results origin]]</f>
        <v>BLW Mono 9.1Min power2040Simulation values</v>
      </c>
    </row>
    <row r="520" spans="1:13" x14ac:dyDescent="0.25">
      <c r="A520" t="s">
        <v>25</v>
      </c>
      <c r="B520" s="68" t="s">
        <v>166</v>
      </c>
      <c r="C520" s="92">
        <v>20</v>
      </c>
      <c r="D520" s="68">
        <v>45</v>
      </c>
      <c r="E520" s="69">
        <v>3.67649502108288</v>
      </c>
      <c r="F520" s="69">
        <v>0.7193948375826924</v>
      </c>
      <c r="G520" s="69">
        <v>5.1105385096126401</v>
      </c>
      <c r="H520" s="69">
        <v>0.74999999999999878</v>
      </c>
      <c r="I520" s="69" t="s">
        <v>181</v>
      </c>
      <c r="J520" s="69" t="s">
        <v>38</v>
      </c>
      <c r="K520" s="213" t="s">
        <v>183</v>
      </c>
      <c r="L520" s="69"/>
      <c r="M520" s="69" t="str">
        <f>CapacityTable[[#This Row],[Model]]&amp;CapacityTable[[#This Row],[Type]]&amp;CapacityTable[[#This Row],[T ext]]&amp;CapacityTable[[#This Row],[T water out]]&amp;CapacityTable[[#This Row],[Results origin]]</f>
        <v>BLW Mono 9.1Min power2045Simulation values</v>
      </c>
    </row>
    <row r="521" spans="1:13" x14ac:dyDescent="0.25">
      <c r="A521" t="s">
        <v>25</v>
      </c>
      <c r="B521" s="68" t="s">
        <v>166</v>
      </c>
      <c r="C521" s="92">
        <v>20</v>
      </c>
      <c r="D521" s="68">
        <v>50</v>
      </c>
      <c r="E521" s="69">
        <v>3.5812754105917302</v>
      </c>
      <c r="F521" s="69">
        <v>0.81323780615842034</v>
      </c>
      <c r="G521" s="69">
        <v>4.4037246958660097</v>
      </c>
      <c r="H521" s="69">
        <v>0.74999999999999878</v>
      </c>
      <c r="I521" s="69" t="s">
        <v>181</v>
      </c>
      <c r="J521" s="69" t="s">
        <v>38</v>
      </c>
      <c r="K521" s="212" t="s">
        <v>48</v>
      </c>
      <c r="L521" s="186" t="s">
        <v>182</v>
      </c>
      <c r="M521" s="69" t="str">
        <f>CapacityTable[[#This Row],[Model]]&amp;CapacityTable[[#This Row],[Type]]&amp;CapacityTable[[#This Row],[T ext]]&amp;CapacityTable[[#This Row],[T water out]]&amp;CapacityTable[[#This Row],[Results origin]]</f>
        <v>BLW Mono 9.1Min power2050Simulation values</v>
      </c>
    </row>
    <row r="522" spans="1:13" x14ac:dyDescent="0.25">
      <c r="A522" t="s">
        <v>25</v>
      </c>
      <c r="B522" s="68" t="s">
        <v>166</v>
      </c>
      <c r="C522" s="92">
        <v>20</v>
      </c>
      <c r="D522" s="68">
        <v>55</v>
      </c>
      <c r="E522" s="69">
        <v>3.7864068109526401</v>
      </c>
      <c r="F522" s="69">
        <v>0.99461143356858606</v>
      </c>
      <c r="G522" s="69">
        <v>3.8069206558055702</v>
      </c>
      <c r="H522" s="69">
        <v>0.74999999999999878</v>
      </c>
      <c r="I522" s="69" t="s">
        <v>181</v>
      </c>
      <c r="J522" s="69" t="s">
        <v>38</v>
      </c>
      <c r="K522" s="213" t="s">
        <v>183</v>
      </c>
      <c r="L522" s="69"/>
      <c r="M522" s="69" t="str">
        <f>CapacityTable[[#This Row],[Model]]&amp;CapacityTable[[#This Row],[Type]]&amp;CapacityTable[[#This Row],[T ext]]&amp;CapacityTable[[#This Row],[T water out]]&amp;CapacityTable[[#This Row],[Results origin]]</f>
        <v>BLW Mono 9.1Min power2055Simulation values</v>
      </c>
    </row>
    <row r="523" spans="1:13" x14ac:dyDescent="0.25">
      <c r="A523" t="s">
        <v>25</v>
      </c>
      <c r="B523" s="68" t="s">
        <v>166</v>
      </c>
      <c r="C523" s="92">
        <v>20</v>
      </c>
      <c r="D523" s="68">
        <v>60</v>
      </c>
      <c r="E523" s="69">
        <v>4.2241840725694297</v>
      </c>
      <c r="F523" s="69">
        <v>1.2613488686195016</v>
      </c>
      <c r="G523" s="69">
        <v>3.3489418967748699</v>
      </c>
      <c r="H523" s="69">
        <v>0.74999999999999878</v>
      </c>
      <c r="I523" s="69" t="s">
        <v>181</v>
      </c>
      <c r="J523" s="69" t="s">
        <v>38</v>
      </c>
      <c r="K523" s="212" t="s">
        <v>48</v>
      </c>
      <c r="L523" s="186" t="s">
        <v>182</v>
      </c>
      <c r="M523" s="69" t="str">
        <f>CapacityTable[[#This Row],[Model]]&amp;CapacityTable[[#This Row],[Type]]&amp;CapacityTable[[#This Row],[T ext]]&amp;CapacityTable[[#This Row],[T water out]]&amp;CapacityTable[[#This Row],[Results origin]]</f>
        <v>BLW Mono 9.1Min power2060Simulation values</v>
      </c>
    </row>
    <row r="524" spans="1:13" x14ac:dyDescent="0.25">
      <c r="A524" t="s">
        <v>23</v>
      </c>
      <c r="B524" s="68" t="s">
        <v>156</v>
      </c>
      <c r="C524" s="92">
        <v>20</v>
      </c>
      <c r="D524" s="68">
        <v>40</v>
      </c>
      <c r="E524" s="69">
        <v>3.83690054740853</v>
      </c>
      <c r="F524" s="69">
        <v>0.65748197104869466</v>
      </c>
      <c r="G524" s="69">
        <v>5.8357502051175798</v>
      </c>
      <c r="H524" s="69">
        <v>0.66875842821665155</v>
      </c>
      <c r="I524" s="69" t="s">
        <v>181</v>
      </c>
      <c r="J524" s="69" t="s">
        <v>38</v>
      </c>
      <c r="K524" s="212" t="s">
        <v>48</v>
      </c>
      <c r="L524" s="186" t="s">
        <v>182</v>
      </c>
      <c r="M524" s="69" t="str">
        <f>CapacityTable[[#This Row],[Model]]&amp;CapacityTable[[#This Row],[Type]]&amp;CapacityTable[[#This Row],[T ext]]&amp;CapacityTable[[#This Row],[T water out]]&amp;CapacityTable[[#This Row],[Results origin]]</f>
        <v>BLW Mono 6.1Best COP2040Simulation values</v>
      </c>
    </row>
    <row r="525" spans="1:13" x14ac:dyDescent="0.25">
      <c r="A525" t="s">
        <v>25</v>
      </c>
      <c r="B525" s="68" t="s">
        <v>156</v>
      </c>
      <c r="C525" s="92">
        <v>20</v>
      </c>
      <c r="D525" s="68">
        <v>40</v>
      </c>
      <c r="E525" s="69">
        <v>3.7753376059329797</v>
      </c>
      <c r="F525" s="69">
        <v>0.63548998068305229</v>
      </c>
      <c r="G525" s="69">
        <v>5.9408294712610301</v>
      </c>
      <c r="H525" s="69">
        <v>0.74999999999999878</v>
      </c>
      <c r="I525" s="69" t="s">
        <v>181</v>
      </c>
      <c r="J525" s="69" t="s">
        <v>38</v>
      </c>
      <c r="K525" s="212" t="s">
        <v>48</v>
      </c>
      <c r="L525" s="186" t="s">
        <v>182</v>
      </c>
      <c r="M525" s="69" t="str">
        <f>CapacityTable[[#This Row],[Model]]&amp;CapacityTable[[#This Row],[Type]]&amp;CapacityTable[[#This Row],[T ext]]&amp;CapacityTable[[#This Row],[T water out]]&amp;CapacityTable[[#This Row],[Results origin]]</f>
        <v>BLW Mono 9.1Best COP2040Simulation values</v>
      </c>
    </row>
    <row r="526" spans="1:13" x14ac:dyDescent="0.25">
      <c r="A526" t="s">
        <v>23</v>
      </c>
      <c r="B526" s="68" t="s">
        <v>156</v>
      </c>
      <c r="C526" s="92">
        <v>20</v>
      </c>
      <c r="D526" s="92">
        <v>45</v>
      </c>
      <c r="E526" s="69">
        <v>4.1522820633803104</v>
      </c>
      <c r="F526" s="69">
        <v>0.81560833295126767</v>
      </c>
      <c r="G526" s="69">
        <v>5.0910245710160096</v>
      </c>
      <c r="H526" s="69">
        <v>0.72468788049335153</v>
      </c>
      <c r="I526" s="69" t="s">
        <v>181</v>
      </c>
      <c r="J526" s="69" t="s">
        <v>38</v>
      </c>
      <c r="K526" s="212" t="s">
        <v>48</v>
      </c>
      <c r="L526" s="186" t="s">
        <v>186</v>
      </c>
      <c r="M526" s="69" t="str">
        <f>CapacityTable[[#This Row],[Model]]&amp;CapacityTable[[#This Row],[Type]]&amp;CapacityTable[[#This Row],[T ext]]&amp;CapacityTable[[#This Row],[T water out]]&amp;CapacityTable[[#This Row],[Results origin]]</f>
        <v>BLW Mono 6.1Best COP2045Simulation values</v>
      </c>
    </row>
    <row r="527" spans="1:13" x14ac:dyDescent="0.25">
      <c r="A527" t="s">
        <v>25</v>
      </c>
      <c r="B527" s="68" t="s">
        <v>156</v>
      </c>
      <c r="C527" s="92">
        <v>20</v>
      </c>
      <c r="D527" s="92">
        <v>45</v>
      </c>
      <c r="E527" s="69">
        <v>3.67649502108288</v>
      </c>
      <c r="F527" s="69">
        <v>0.7193948375826924</v>
      </c>
      <c r="G527" s="69">
        <v>5.1105385096126401</v>
      </c>
      <c r="H527" s="69">
        <v>0.74999999999999878</v>
      </c>
      <c r="I527" s="69" t="s">
        <v>181</v>
      </c>
      <c r="J527" s="69" t="s">
        <v>38</v>
      </c>
      <c r="K527" s="212" t="s">
        <v>48</v>
      </c>
      <c r="L527" s="186" t="s">
        <v>182</v>
      </c>
      <c r="M527" s="69" t="str">
        <f>CapacityTable[[#This Row],[Model]]&amp;CapacityTable[[#This Row],[Type]]&amp;CapacityTable[[#This Row],[T ext]]&amp;CapacityTable[[#This Row],[T water out]]&amp;CapacityTable[[#This Row],[Results origin]]</f>
        <v>BLW Mono 9.1Best COP2045Simulation values</v>
      </c>
    </row>
    <row r="528" spans="1:13" ht="15" customHeight="1" x14ac:dyDescent="0.25">
      <c r="A528" t="s">
        <v>23</v>
      </c>
      <c r="B528" s="68" t="s">
        <v>156</v>
      </c>
      <c r="C528" s="217">
        <v>20</v>
      </c>
      <c r="D528" s="68">
        <v>50</v>
      </c>
      <c r="E528" s="69">
        <v>4.0722052040651198</v>
      </c>
      <c r="F528" s="69">
        <v>0.89237468327657243</v>
      </c>
      <c r="G528" s="69">
        <v>4.5633356485562997</v>
      </c>
      <c r="H528" s="69">
        <v>0.44433243485038082</v>
      </c>
      <c r="I528" s="69" t="s">
        <v>181</v>
      </c>
      <c r="J528" s="69" t="s">
        <v>38</v>
      </c>
      <c r="K528" s="212" t="s">
        <v>48</v>
      </c>
      <c r="L528" s="186" t="s">
        <v>182</v>
      </c>
      <c r="M528" s="69" t="str">
        <f>CapacityTable[[#This Row],[Model]]&amp;CapacityTable[[#This Row],[Type]]&amp;CapacityTable[[#This Row],[T ext]]&amp;CapacityTable[[#This Row],[T water out]]&amp;CapacityTable[[#This Row],[Results origin]]</f>
        <v>BLW Mono 6.1Best COP2050Simulation values</v>
      </c>
    </row>
    <row r="529" spans="1:13" ht="15" customHeight="1" x14ac:dyDescent="0.25">
      <c r="A529" t="s">
        <v>25</v>
      </c>
      <c r="B529" s="68" t="s">
        <v>156</v>
      </c>
      <c r="C529" s="217">
        <v>20</v>
      </c>
      <c r="D529" s="68">
        <v>50</v>
      </c>
      <c r="E529" s="69">
        <v>4.4434506932548805</v>
      </c>
      <c r="F529" s="69">
        <v>1.0069987326339482</v>
      </c>
      <c r="G529" s="69">
        <v>4.4125683074420596</v>
      </c>
      <c r="H529" s="69">
        <v>0.74999999999999878</v>
      </c>
      <c r="I529" s="69" t="s">
        <v>181</v>
      </c>
      <c r="J529" s="69" t="s">
        <v>38</v>
      </c>
      <c r="K529" s="212" t="s">
        <v>48</v>
      </c>
      <c r="L529" s="186" t="s">
        <v>182</v>
      </c>
      <c r="M529" s="69" t="str">
        <f>CapacityTable[[#This Row],[Model]]&amp;CapacityTable[[#This Row],[Type]]&amp;CapacityTable[[#This Row],[T ext]]&amp;CapacityTable[[#This Row],[T water out]]&amp;CapacityTable[[#This Row],[Results origin]]</f>
        <v>BLW Mono 9.1Best COP2050Simulation values</v>
      </c>
    </row>
    <row r="530" spans="1:13" ht="15" customHeight="1" x14ac:dyDescent="0.25">
      <c r="A530" t="s">
        <v>25</v>
      </c>
      <c r="B530" s="68" t="s">
        <v>166</v>
      </c>
      <c r="C530" s="217">
        <v>20</v>
      </c>
      <c r="D530" s="92">
        <v>65</v>
      </c>
      <c r="E530" s="69">
        <v>5.8019476489326998</v>
      </c>
      <c r="F530" s="69">
        <v>1.9289895032598607</v>
      </c>
      <c r="G530" s="69">
        <v>3.00776527768959</v>
      </c>
      <c r="H530" s="69">
        <v>0.74999999999999878</v>
      </c>
      <c r="I530" s="69" t="s">
        <v>181</v>
      </c>
      <c r="J530" s="69" t="s">
        <v>38</v>
      </c>
      <c r="K530" s="213" t="s">
        <v>183</v>
      </c>
      <c r="L530" s="69" t="s">
        <v>184</v>
      </c>
      <c r="M530" s="69" t="str">
        <f>CapacityTable[[#This Row],[Model]]&amp;CapacityTable[[#This Row],[Type]]&amp;CapacityTable[[#This Row],[T ext]]&amp;CapacityTable[[#This Row],[T water out]]&amp;CapacityTable[[#This Row],[Results origin]]</f>
        <v>BLW Mono 9.1Min power2065Simulation values</v>
      </c>
    </row>
    <row r="531" spans="1:13" ht="15" customHeight="1" x14ac:dyDescent="0.25">
      <c r="A531" t="s">
        <v>25</v>
      </c>
      <c r="B531" s="68" t="s">
        <v>166</v>
      </c>
      <c r="C531" s="217">
        <v>20</v>
      </c>
      <c r="D531" s="68">
        <v>70</v>
      </c>
      <c r="E531" s="69">
        <v>5.65798351236361</v>
      </c>
      <c r="F531" s="69">
        <v>2.116889883404721</v>
      </c>
      <c r="G531" s="69">
        <v>2.6727812139493698</v>
      </c>
      <c r="H531" s="69">
        <v>0.74999999999999878</v>
      </c>
      <c r="I531" s="69" t="s">
        <v>181</v>
      </c>
      <c r="J531" s="69" t="s">
        <v>38</v>
      </c>
      <c r="K531" s="212" t="s">
        <v>48</v>
      </c>
      <c r="L531" s="186" t="s">
        <v>182</v>
      </c>
      <c r="M531" s="69" t="str">
        <f>CapacityTable[[#This Row],[Model]]&amp;CapacityTable[[#This Row],[Type]]&amp;CapacityTable[[#This Row],[T ext]]&amp;CapacityTable[[#This Row],[T water out]]&amp;CapacityTable[[#This Row],[Results origin]]</f>
        <v>BLW Mono 9.1Min power2070Simulation values</v>
      </c>
    </row>
    <row r="532" spans="1:13" ht="15" customHeight="1" x14ac:dyDescent="0.25">
      <c r="A532" t="s">
        <v>23</v>
      </c>
      <c r="B532" s="68" t="s">
        <v>156</v>
      </c>
      <c r="C532" s="217">
        <v>20</v>
      </c>
      <c r="D532" s="92">
        <v>55</v>
      </c>
      <c r="E532" s="69">
        <v>3.9748225365201804</v>
      </c>
      <c r="F532" s="69">
        <v>0.98795056455623198</v>
      </c>
      <c r="G532" s="69">
        <v>4.0233010427050999</v>
      </c>
      <c r="H532" s="69">
        <v>0.43451085858299282</v>
      </c>
      <c r="I532" s="69" t="s">
        <v>181</v>
      </c>
      <c r="J532" s="69" t="s">
        <v>38</v>
      </c>
      <c r="K532" s="212" t="s">
        <v>48</v>
      </c>
      <c r="L532" s="186" t="s">
        <v>186</v>
      </c>
      <c r="M532" s="69" t="str">
        <f>CapacityTable[[#This Row],[Model]]&amp;CapacityTable[[#This Row],[Type]]&amp;CapacityTable[[#This Row],[T ext]]&amp;CapacityTable[[#This Row],[T water out]]&amp;CapacityTable[[#This Row],[Results origin]]</f>
        <v>BLW Mono 6.1Best COP2055Simulation values</v>
      </c>
    </row>
    <row r="533" spans="1:13" ht="15" customHeight="1" x14ac:dyDescent="0.25">
      <c r="A533" t="s">
        <v>25</v>
      </c>
      <c r="B533" s="68" t="s">
        <v>156</v>
      </c>
      <c r="C533" s="217">
        <v>20</v>
      </c>
      <c r="D533" s="92">
        <v>55</v>
      </c>
      <c r="E533" s="69">
        <v>4.8628678939704493</v>
      </c>
      <c r="F533" s="69">
        <v>1.2622028191332026</v>
      </c>
      <c r="G533" s="69">
        <v>3.8526834358601301</v>
      </c>
      <c r="H533" s="69">
        <v>0.74999999999999878</v>
      </c>
      <c r="I533" s="69" t="s">
        <v>181</v>
      </c>
      <c r="J533" s="69" t="s">
        <v>38</v>
      </c>
      <c r="K533" s="212" t="s">
        <v>48</v>
      </c>
      <c r="L533" s="186" t="s">
        <v>186</v>
      </c>
      <c r="M533" s="69" t="str">
        <f>CapacityTable[[#This Row],[Model]]&amp;CapacityTable[[#This Row],[Type]]&amp;CapacityTable[[#This Row],[T ext]]&amp;CapacityTable[[#This Row],[T water out]]&amp;CapacityTable[[#This Row],[Results origin]]</f>
        <v>BLW Mono 9.1Best COP2055Simulation values</v>
      </c>
    </row>
    <row r="534" spans="1:13" ht="15" customHeight="1" x14ac:dyDescent="0.25">
      <c r="A534" t="s">
        <v>23</v>
      </c>
      <c r="B534" s="68" t="s">
        <v>156</v>
      </c>
      <c r="C534" s="217">
        <v>20</v>
      </c>
      <c r="D534" s="68">
        <v>60</v>
      </c>
      <c r="E534" s="69">
        <v>4.9322506493175293</v>
      </c>
      <c r="F534" s="69">
        <v>1.3810795477989237</v>
      </c>
      <c r="G534" s="69">
        <v>3.5713009125203801</v>
      </c>
      <c r="H534" s="69">
        <v>0.432</v>
      </c>
      <c r="I534" s="69" t="s">
        <v>181</v>
      </c>
      <c r="J534" s="69" t="s">
        <v>38</v>
      </c>
      <c r="K534" s="212" t="s">
        <v>48</v>
      </c>
      <c r="L534" s="186" t="s">
        <v>182</v>
      </c>
      <c r="M534" s="69" t="str">
        <f>CapacityTable[[#This Row],[Model]]&amp;CapacityTable[[#This Row],[Type]]&amp;CapacityTable[[#This Row],[T ext]]&amp;CapacityTable[[#This Row],[T water out]]&amp;CapacityTable[[#This Row],[Results origin]]</f>
        <v>BLW Mono 6.1Best COP2060Simulation values</v>
      </c>
    </row>
    <row r="535" spans="1:13" ht="15" customHeight="1" x14ac:dyDescent="0.25">
      <c r="A535" t="s">
        <v>25</v>
      </c>
      <c r="B535" s="68" t="s">
        <v>156</v>
      </c>
      <c r="C535" s="217">
        <v>20</v>
      </c>
      <c r="D535" s="68">
        <v>60</v>
      </c>
      <c r="E535" s="69">
        <v>5.9490829172089699</v>
      </c>
      <c r="F535" s="69">
        <v>1.7531131175475292</v>
      </c>
      <c r="G535" s="69">
        <v>3.39343928104952</v>
      </c>
      <c r="H535" s="69">
        <v>0.74999999999999878</v>
      </c>
      <c r="I535" s="69" t="s">
        <v>181</v>
      </c>
      <c r="J535" s="69" t="s">
        <v>38</v>
      </c>
      <c r="K535" s="212" t="s">
        <v>48</v>
      </c>
      <c r="L535" s="186" t="s">
        <v>182</v>
      </c>
      <c r="M535" s="69" t="str">
        <f>CapacityTable[[#This Row],[Model]]&amp;CapacityTable[[#This Row],[Type]]&amp;CapacityTable[[#This Row],[T ext]]&amp;CapacityTable[[#This Row],[T water out]]&amp;CapacityTable[[#This Row],[Results origin]]</f>
        <v>BLW Mono 9.1Best COP2060Simulation values</v>
      </c>
    </row>
    <row r="536" spans="1:13" ht="15" customHeight="1" x14ac:dyDescent="0.25">
      <c r="A536" t="s">
        <v>23</v>
      </c>
      <c r="B536" s="68" t="s">
        <v>156</v>
      </c>
      <c r="C536" s="217">
        <v>20</v>
      </c>
      <c r="D536" s="92">
        <v>65</v>
      </c>
      <c r="E536" s="69">
        <v>4.7866779842466807</v>
      </c>
      <c r="F536" s="69">
        <v>1.51563776715091</v>
      </c>
      <c r="G536" s="69">
        <v>3.1581939220508199</v>
      </c>
      <c r="H536" s="69">
        <v>0.432</v>
      </c>
      <c r="I536" s="69" t="s">
        <v>181</v>
      </c>
      <c r="J536" s="69" t="s">
        <v>38</v>
      </c>
      <c r="K536" s="212" t="s">
        <v>48</v>
      </c>
      <c r="L536" s="186" t="s">
        <v>182</v>
      </c>
      <c r="M536" s="69" t="str">
        <f>CapacityTable[[#This Row],[Model]]&amp;CapacityTable[[#This Row],[Type]]&amp;CapacityTable[[#This Row],[T ext]]&amp;CapacityTable[[#This Row],[T water out]]&amp;CapacityTable[[#This Row],[Results origin]]</f>
        <v>BLW Mono 6.1Best COP2065Simulation values</v>
      </c>
    </row>
    <row r="537" spans="1:13" ht="15" customHeight="1" x14ac:dyDescent="0.25">
      <c r="A537" t="s">
        <v>25</v>
      </c>
      <c r="B537" s="68" t="s">
        <v>156</v>
      </c>
      <c r="C537" s="217">
        <v>20</v>
      </c>
      <c r="D537" s="92">
        <v>65</v>
      </c>
      <c r="E537" s="69">
        <v>5.8019476489326998</v>
      </c>
      <c r="F537" s="69">
        <v>1.9289895032598607</v>
      </c>
      <c r="G537" s="69">
        <v>3.00776527768959</v>
      </c>
      <c r="H537" s="69">
        <v>0.74999999999999878</v>
      </c>
      <c r="I537" s="69" t="s">
        <v>181</v>
      </c>
      <c r="J537" s="69" t="s">
        <v>38</v>
      </c>
      <c r="K537" s="212" t="s">
        <v>48</v>
      </c>
      <c r="L537" s="186" t="s">
        <v>182</v>
      </c>
      <c r="M537" s="69" t="str">
        <f>CapacityTable[[#This Row],[Model]]&amp;CapacityTable[[#This Row],[Type]]&amp;CapacityTable[[#This Row],[T ext]]&amp;CapacityTable[[#This Row],[T water out]]&amp;CapacityTable[[#This Row],[Results origin]]</f>
        <v>BLW Mono 9.1Best COP2065Simulation values</v>
      </c>
    </row>
    <row r="538" spans="1:13" ht="15" customHeight="1" x14ac:dyDescent="0.25">
      <c r="A538" t="s">
        <v>23</v>
      </c>
      <c r="B538" s="68" t="s">
        <v>156</v>
      </c>
      <c r="C538" s="217">
        <v>20</v>
      </c>
      <c r="D538" s="68">
        <v>70</v>
      </c>
      <c r="E538" s="69">
        <v>5.13026828238094</v>
      </c>
      <c r="F538" s="69">
        <v>1.8387334733441338</v>
      </c>
      <c r="G538" s="69">
        <v>2.7901097993557702</v>
      </c>
      <c r="H538" s="69">
        <v>0.45022443648745675</v>
      </c>
      <c r="I538" s="69" t="s">
        <v>181</v>
      </c>
      <c r="J538" s="69" t="s">
        <v>38</v>
      </c>
      <c r="K538" s="212" t="s">
        <v>48</v>
      </c>
      <c r="L538" s="186" t="s">
        <v>182</v>
      </c>
      <c r="M538" s="69" t="str">
        <f>CapacityTable[[#This Row],[Model]]&amp;CapacityTable[[#This Row],[Type]]&amp;CapacityTable[[#This Row],[T ext]]&amp;CapacityTable[[#This Row],[T water out]]&amp;CapacityTable[[#This Row],[Results origin]]</f>
        <v>BLW Mono 6.1Best COP2070Simulation values</v>
      </c>
    </row>
    <row r="539" spans="1:13" ht="15" customHeight="1" x14ac:dyDescent="0.25">
      <c r="A539" t="s">
        <v>25</v>
      </c>
      <c r="B539" s="68" t="s">
        <v>156</v>
      </c>
      <c r="C539" s="217">
        <v>20</v>
      </c>
      <c r="D539" s="68">
        <v>70</v>
      </c>
      <c r="E539" s="69">
        <v>6.3597786849781599</v>
      </c>
      <c r="F539" s="69">
        <v>2.3735059319904606</v>
      </c>
      <c r="G539" s="69">
        <v>2.6794871667519899</v>
      </c>
      <c r="H539" s="69">
        <v>0.74999999999999878</v>
      </c>
      <c r="I539" s="69" t="s">
        <v>181</v>
      </c>
      <c r="J539" s="69" t="s">
        <v>38</v>
      </c>
      <c r="K539" s="212" t="s">
        <v>48</v>
      </c>
      <c r="L539" s="186" t="s">
        <v>182</v>
      </c>
      <c r="M539" s="69" t="str">
        <f>CapacityTable[[#This Row],[Model]]&amp;CapacityTable[[#This Row],[Type]]&amp;CapacityTable[[#This Row],[T ext]]&amp;CapacityTable[[#This Row],[T water out]]&amp;CapacityTable[[#This Row],[Results origin]]</f>
        <v>BLW Mono 9.1Best COP2070Simulation values</v>
      </c>
    </row>
    <row r="540" spans="1:13" ht="15" customHeight="1" x14ac:dyDescent="0.25">
      <c r="A540" t="s">
        <v>23</v>
      </c>
      <c r="B540" s="68" t="s">
        <v>156</v>
      </c>
      <c r="C540" s="217">
        <v>45</v>
      </c>
      <c r="D540" s="92">
        <v>18</v>
      </c>
      <c r="E540" s="69">
        <v>1.67327248695164</v>
      </c>
      <c r="F540" s="69">
        <v>0.45711889509891279</v>
      </c>
      <c r="G540" s="69">
        <v>3.66047543624197</v>
      </c>
      <c r="H540" s="69"/>
      <c r="I540" s="69" t="s">
        <v>191</v>
      </c>
      <c r="J540" s="69" t="s">
        <v>38</v>
      </c>
      <c r="K540" s="219" t="s">
        <v>192</v>
      </c>
      <c r="L540" s="186"/>
      <c r="M540" s="69" t="str">
        <f>CapacityTable[[#This Row],[Model]]&amp;CapacityTable[[#This Row],[Type]]&amp;CapacityTable[[#This Row],[T ext]]&amp;CapacityTable[[#This Row],[T water out]]&amp;CapacityTable[[#This Row],[Results origin]]</f>
        <v>BLW Mono 6.1Best COP4518Simulation values</v>
      </c>
    </row>
    <row r="541" spans="1:13" ht="15" customHeight="1" x14ac:dyDescent="0.25">
      <c r="A541" t="s">
        <v>25</v>
      </c>
      <c r="B541" s="68" t="s">
        <v>156</v>
      </c>
      <c r="C541" s="217">
        <v>45</v>
      </c>
      <c r="D541" s="92">
        <v>18</v>
      </c>
      <c r="E541" s="69">
        <v>2.1655445009999998</v>
      </c>
      <c r="F541" s="69">
        <v>0.27980813470722693</v>
      </c>
      <c r="G541" s="69">
        <v>7.7393907909999999</v>
      </c>
      <c r="H541" s="69"/>
      <c r="I541" s="69" t="s">
        <v>191</v>
      </c>
      <c r="J541" s="69" t="s">
        <v>38</v>
      </c>
      <c r="K541" s="232" t="s">
        <v>192</v>
      </c>
      <c r="L541" s="186"/>
      <c r="M541" s="69" t="str">
        <f>CapacityTable[[#This Row],[Model]]&amp;CapacityTable[[#This Row],[Type]]&amp;CapacityTable[[#This Row],[T ext]]&amp;CapacityTable[[#This Row],[T water out]]&amp;CapacityTable[[#This Row],[Results origin]]</f>
        <v>BLW Mono 9.1Best COP4518Simulation values</v>
      </c>
    </row>
    <row r="542" spans="1:13" x14ac:dyDescent="0.25">
      <c r="A542" t="s">
        <v>23</v>
      </c>
      <c r="B542" s="68" t="s">
        <v>156</v>
      </c>
      <c r="C542" s="92">
        <v>40</v>
      </c>
      <c r="D542" s="92">
        <v>7</v>
      </c>
      <c r="E542" s="69">
        <v>2.1869274460535499</v>
      </c>
      <c r="F542" s="69">
        <v>0.78583338256876323</v>
      </c>
      <c r="G542" s="69">
        <v>2.7829403720478698</v>
      </c>
      <c r="H542" s="69"/>
      <c r="I542" s="69" t="s">
        <v>191</v>
      </c>
      <c r="J542" s="69" t="s">
        <v>38</v>
      </c>
      <c r="K542" s="219" t="s">
        <v>192</v>
      </c>
      <c r="L542" s="186"/>
      <c r="M542" s="218" t="str">
        <f>CapacityTable[[#This Row],[Model]]&amp;CapacityTable[[#This Row],[Type]]&amp;CapacityTable[[#This Row],[T ext]]&amp;CapacityTable[[#This Row],[T water out]]&amp;CapacityTable[[#This Row],[Results origin]]</f>
        <v>BLW Mono 6.1Best COP407Simulation values</v>
      </c>
    </row>
    <row r="543" spans="1:13" x14ac:dyDescent="0.25">
      <c r="A543" t="s">
        <v>25</v>
      </c>
      <c r="B543" s="68" t="s">
        <v>156</v>
      </c>
      <c r="C543" s="92">
        <v>40</v>
      </c>
      <c r="D543" s="92">
        <v>7</v>
      </c>
      <c r="E543" s="69">
        <v>2.3149160980000003</v>
      </c>
      <c r="F543" s="69">
        <v>0.78774882959667825</v>
      </c>
      <c r="G543" s="69">
        <v>2.938647461</v>
      </c>
      <c r="H543" s="69"/>
      <c r="I543" s="69" t="s">
        <v>191</v>
      </c>
      <c r="J543" s="69" t="s">
        <v>38</v>
      </c>
      <c r="K543" s="232" t="s">
        <v>192</v>
      </c>
      <c r="L543" s="186"/>
      <c r="M543" s="69" t="str">
        <f>CapacityTable[[#This Row],[Model]]&amp;CapacityTable[[#This Row],[Type]]&amp;CapacityTable[[#This Row],[T ext]]&amp;CapacityTable[[#This Row],[T water out]]&amp;CapacityTable[[#This Row],[Results origin]]</f>
        <v>BLW Mono 9.1Best COP407Simulation values</v>
      </c>
    </row>
    <row r="544" spans="1:13" ht="15" customHeight="1" x14ac:dyDescent="0.25">
      <c r="A544" t="s">
        <v>23</v>
      </c>
      <c r="B544" s="68" t="s">
        <v>156</v>
      </c>
      <c r="C544" s="92">
        <v>40</v>
      </c>
      <c r="D544" s="92">
        <v>18</v>
      </c>
      <c r="E544" s="69">
        <v>3.1777597197572898</v>
      </c>
      <c r="F544" s="69">
        <v>0.7972009047451083</v>
      </c>
      <c r="G544" s="69">
        <v>3.98614665493051</v>
      </c>
      <c r="H544" s="69"/>
      <c r="I544" s="69" t="s">
        <v>191</v>
      </c>
      <c r="J544" s="69" t="s">
        <v>38</v>
      </c>
      <c r="K544" s="219" t="s">
        <v>192</v>
      </c>
      <c r="L544" s="186"/>
      <c r="M544" s="69" t="str">
        <f>CapacityTable[[#This Row],[Model]]&amp;CapacityTable[[#This Row],[Type]]&amp;CapacityTable[[#This Row],[T ext]]&amp;CapacityTable[[#This Row],[T water out]]&amp;CapacityTable[[#This Row],[Results origin]]</f>
        <v>BLW Mono 6.1Best COP4018Simulation values</v>
      </c>
    </row>
    <row r="545" spans="1:13" ht="15" customHeight="1" x14ac:dyDescent="0.25">
      <c r="A545" t="s">
        <v>25</v>
      </c>
      <c r="B545" s="68" t="s">
        <v>156</v>
      </c>
      <c r="C545" s="92">
        <v>40</v>
      </c>
      <c r="D545" s="92">
        <v>18</v>
      </c>
      <c r="E545" s="69">
        <v>1.7684345510000001</v>
      </c>
      <c r="F545" s="69">
        <v>0.45490294116269869</v>
      </c>
      <c r="G545" s="69">
        <v>3.8874986090000001</v>
      </c>
      <c r="H545" s="69"/>
      <c r="I545" s="69" t="s">
        <v>191</v>
      </c>
      <c r="J545" s="69" t="s">
        <v>38</v>
      </c>
      <c r="K545" s="232" t="s">
        <v>192</v>
      </c>
      <c r="L545" s="186"/>
      <c r="M545" s="69" t="str">
        <f>CapacityTable[[#This Row],[Model]]&amp;CapacityTable[[#This Row],[Type]]&amp;CapacityTable[[#This Row],[T ext]]&amp;CapacityTable[[#This Row],[T water out]]&amp;CapacityTable[[#This Row],[Results origin]]</f>
        <v>BLW Mono 9.1Best COP4018Simulation values</v>
      </c>
    </row>
    <row r="546" spans="1:13" ht="15" customHeight="1" x14ac:dyDescent="0.25">
      <c r="A546" t="s">
        <v>23</v>
      </c>
      <c r="B546" s="68" t="s">
        <v>156</v>
      </c>
      <c r="C546" s="92">
        <v>35</v>
      </c>
      <c r="D546" s="92">
        <v>7</v>
      </c>
      <c r="E546" s="69">
        <v>2.2892809453701504</v>
      </c>
      <c r="F546" s="69">
        <v>0.72522648762210495</v>
      </c>
      <c r="G546" s="69">
        <v>3.15664276531917</v>
      </c>
      <c r="H546" s="69"/>
      <c r="I546" s="69" t="s">
        <v>191</v>
      </c>
      <c r="J546" s="69" t="s">
        <v>38</v>
      </c>
      <c r="K546" s="213" t="s">
        <v>193</v>
      </c>
      <c r="L546" s="186"/>
      <c r="M546" s="69" t="str">
        <f>CapacityTable[[#This Row],[Model]]&amp;CapacityTable[[#This Row],[Type]]&amp;CapacityTable[[#This Row],[T ext]]&amp;CapacityTable[[#This Row],[T water out]]&amp;CapacityTable[[#This Row],[Results origin]]</f>
        <v>BLW Mono 6.1Best COP357Simulation values</v>
      </c>
    </row>
    <row r="547" spans="1:13" ht="15" customHeight="1" x14ac:dyDescent="0.25">
      <c r="A547" t="s">
        <v>25</v>
      </c>
      <c r="B547" s="68" t="s">
        <v>156</v>
      </c>
      <c r="C547" s="92">
        <v>35</v>
      </c>
      <c r="D547" s="92">
        <v>7</v>
      </c>
      <c r="E547" s="69">
        <v>2.4240047140000001</v>
      </c>
      <c r="F547" s="69">
        <v>0.72535384337478326</v>
      </c>
      <c r="G547" s="69">
        <v>3.3418237679999998</v>
      </c>
      <c r="H547" s="69"/>
      <c r="I547" s="69" t="s">
        <v>191</v>
      </c>
      <c r="J547" s="69" t="s">
        <v>38</v>
      </c>
      <c r="K547" s="213" t="s">
        <v>193</v>
      </c>
      <c r="L547" s="186"/>
      <c r="M547" s="69" t="str">
        <f>CapacityTable[[#This Row],[Model]]&amp;CapacityTable[[#This Row],[Type]]&amp;CapacityTable[[#This Row],[T ext]]&amp;CapacityTable[[#This Row],[T water out]]&amp;CapacityTable[[#This Row],[Results origin]]</f>
        <v>BLW Mono 9.1Best COP357Simulation values</v>
      </c>
    </row>
    <row r="548" spans="1:13" ht="15" customHeight="1" x14ac:dyDescent="0.25">
      <c r="A548" t="s">
        <v>23</v>
      </c>
      <c r="B548" s="68" t="s">
        <v>156</v>
      </c>
      <c r="C548" s="92">
        <v>35</v>
      </c>
      <c r="D548" s="92">
        <v>18</v>
      </c>
      <c r="E548" s="69">
        <v>2.9829066435091001</v>
      </c>
      <c r="F548" s="69">
        <v>0.65299782013235796</v>
      </c>
      <c r="G548" s="69">
        <v>4.5680192973760398</v>
      </c>
      <c r="H548" s="69"/>
      <c r="I548" s="69" t="s">
        <v>191</v>
      </c>
      <c r="J548" s="69" t="s">
        <v>38</v>
      </c>
      <c r="K548" s="213" t="s">
        <v>193</v>
      </c>
      <c r="L548" s="186"/>
      <c r="M548" s="69" t="str">
        <f>CapacityTable[[#This Row],[Model]]&amp;CapacityTable[[#This Row],[Type]]&amp;CapacityTable[[#This Row],[T ext]]&amp;CapacityTable[[#This Row],[T water out]]&amp;CapacityTable[[#This Row],[Results origin]]</f>
        <v>BLW Mono 6.1Best COP3518Simulation values</v>
      </c>
    </row>
    <row r="549" spans="1:13" ht="15" customHeight="1" x14ac:dyDescent="0.25">
      <c r="A549" t="s">
        <v>25</v>
      </c>
      <c r="B549" s="68" t="s">
        <v>156</v>
      </c>
      <c r="C549" s="92">
        <v>35</v>
      </c>
      <c r="D549" s="92">
        <v>18</v>
      </c>
      <c r="E549" s="69">
        <v>2.5897274280000002</v>
      </c>
      <c r="F549" s="69">
        <v>0.61676226979168181</v>
      </c>
      <c r="G549" s="69">
        <v>4.1989070259999997</v>
      </c>
      <c r="H549" s="69"/>
      <c r="I549" s="69" t="s">
        <v>191</v>
      </c>
      <c r="J549" s="69" t="s">
        <v>38</v>
      </c>
      <c r="K549" s="213" t="s">
        <v>193</v>
      </c>
      <c r="L549" s="186"/>
      <c r="M549" s="69" t="str">
        <f>CapacityTable[[#This Row],[Model]]&amp;CapacityTable[[#This Row],[Type]]&amp;CapacityTable[[#This Row],[T ext]]&amp;CapacityTable[[#This Row],[T water out]]&amp;CapacityTable[[#This Row],[Results origin]]</f>
        <v>BLW Mono 9.1Best COP3518Simulation values</v>
      </c>
    </row>
    <row r="550" spans="1:13" ht="15" customHeight="1" x14ac:dyDescent="0.25">
      <c r="A550" t="s">
        <v>23</v>
      </c>
      <c r="B550" s="68" t="s">
        <v>156</v>
      </c>
      <c r="C550" s="92">
        <v>30</v>
      </c>
      <c r="D550" s="92">
        <v>7</v>
      </c>
      <c r="E550" s="69">
        <v>2.3902660079167397</v>
      </c>
      <c r="F550" s="69">
        <v>0.66771064568101512</v>
      </c>
      <c r="G550" s="69">
        <v>3.5797931684597399</v>
      </c>
      <c r="H550" s="69"/>
      <c r="I550" s="69" t="s">
        <v>191</v>
      </c>
      <c r="J550" s="69" t="s">
        <v>38</v>
      </c>
      <c r="K550" s="219" t="s">
        <v>192</v>
      </c>
      <c r="L550" s="186"/>
      <c r="M550" s="69" t="str">
        <f>CapacityTable[[#This Row],[Model]]&amp;CapacityTable[[#This Row],[Type]]&amp;CapacityTable[[#This Row],[T ext]]&amp;CapacityTable[[#This Row],[T water out]]&amp;CapacityTable[[#This Row],[Results origin]]</f>
        <v>BLW Mono 6.1Best COP307Simulation values</v>
      </c>
    </row>
    <row r="551" spans="1:13" ht="15" customHeight="1" x14ac:dyDescent="0.25">
      <c r="A551" t="s">
        <v>25</v>
      </c>
      <c r="B551" s="68" t="s">
        <v>156</v>
      </c>
      <c r="C551" s="92">
        <v>30</v>
      </c>
      <c r="D551" s="92">
        <v>7</v>
      </c>
      <c r="E551" s="69">
        <v>2.5314232000000003</v>
      </c>
      <c r="F551" s="69">
        <v>0.66618389680925905</v>
      </c>
      <c r="G551" s="69">
        <v>3.799886506</v>
      </c>
      <c r="H551" s="69"/>
      <c r="I551" s="69" t="s">
        <v>191</v>
      </c>
      <c r="J551" s="69" t="s">
        <v>38</v>
      </c>
      <c r="K551" s="232" t="s">
        <v>192</v>
      </c>
      <c r="L551" s="186"/>
      <c r="M551" s="69" t="str">
        <f>CapacityTable[[#This Row],[Model]]&amp;CapacityTable[[#This Row],[Type]]&amp;CapacityTable[[#This Row],[T ext]]&amp;CapacityTable[[#This Row],[T water out]]&amp;CapacityTable[[#This Row],[Results origin]]</f>
        <v>BLW Mono 9.1Best COP307Simulation values</v>
      </c>
    </row>
    <row r="552" spans="1:13" ht="15" customHeight="1" x14ac:dyDescent="0.25">
      <c r="A552" t="s">
        <v>23</v>
      </c>
      <c r="B552" s="68" t="s">
        <v>156</v>
      </c>
      <c r="C552" s="92">
        <v>30</v>
      </c>
      <c r="D552" s="92">
        <v>18</v>
      </c>
      <c r="E552" s="69">
        <v>3.1143927427083198</v>
      </c>
      <c r="F552" s="69">
        <v>0.5938019750383654</v>
      </c>
      <c r="G552" s="69">
        <v>5.2448339238128998</v>
      </c>
      <c r="H552" s="69"/>
      <c r="I552" s="69" t="s">
        <v>191</v>
      </c>
      <c r="J552" s="69" t="s">
        <v>38</v>
      </c>
      <c r="K552" s="219" t="s">
        <v>192</v>
      </c>
      <c r="L552" s="186"/>
      <c r="M552" s="69" t="str">
        <f>CapacityTable[[#This Row],[Model]]&amp;CapacityTable[[#This Row],[Type]]&amp;CapacityTable[[#This Row],[T ext]]&amp;CapacityTable[[#This Row],[T water out]]&amp;CapacityTable[[#This Row],[Results origin]]</f>
        <v>BLW Mono 6.1Best COP3018Simulation values</v>
      </c>
    </row>
    <row r="553" spans="1:13" ht="15" customHeight="1" x14ac:dyDescent="0.25">
      <c r="A553" s="231" t="s">
        <v>25</v>
      </c>
      <c r="B553" s="68" t="s">
        <v>156</v>
      </c>
      <c r="C553" s="92">
        <v>30</v>
      </c>
      <c r="D553" s="92">
        <v>18</v>
      </c>
      <c r="E553" s="69">
        <v>2.7111566950000001</v>
      </c>
      <c r="F553" s="69">
        <v>0.56054327187566055</v>
      </c>
      <c r="G553" s="69">
        <v>4.8366590609999998</v>
      </c>
      <c r="H553" s="69"/>
      <c r="I553" s="69" t="s">
        <v>191</v>
      </c>
      <c r="J553" s="69" t="s">
        <v>38</v>
      </c>
      <c r="K553" s="232" t="s">
        <v>192</v>
      </c>
      <c r="L553" s="186"/>
      <c r="M553" s="69" t="str">
        <f>CapacityTable[[#This Row],[Model]]&amp;CapacityTable[[#This Row],[Type]]&amp;CapacityTable[[#This Row],[T ext]]&amp;CapacityTable[[#This Row],[T water out]]&amp;CapacityTable[[#This Row],[Results origin]]</f>
        <v>BLW Mono 9.1Best COP3018Simulation values</v>
      </c>
    </row>
    <row r="554" spans="1:13" ht="15" customHeight="1" x14ac:dyDescent="0.25">
      <c r="A554" s="231" t="s">
        <v>23</v>
      </c>
      <c r="B554" s="68" t="s">
        <v>156</v>
      </c>
      <c r="C554" s="92">
        <v>25</v>
      </c>
      <c r="D554" s="92">
        <v>7</v>
      </c>
      <c r="E554" s="69">
        <v>2.49585190792904</v>
      </c>
      <c r="F554" s="69">
        <v>0.6115913780418607</v>
      </c>
      <c r="G554" s="69">
        <v>4.0809141487900602</v>
      </c>
      <c r="H554" s="69"/>
      <c r="I554" s="69" t="s">
        <v>191</v>
      </c>
      <c r="J554" s="69" t="s">
        <v>38</v>
      </c>
      <c r="K554" s="219" t="s">
        <v>192</v>
      </c>
      <c r="L554" s="186"/>
      <c r="M554" s="69" t="str">
        <f>CapacityTable[[#This Row],[Model]]&amp;CapacityTable[[#This Row],[Type]]&amp;CapacityTable[[#This Row],[T ext]]&amp;CapacityTable[[#This Row],[T water out]]&amp;CapacityTable[[#This Row],[Results origin]]</f>
        <v>BLW Mono 6.1Best COP257Simulation values</v>
      </c>
    </row>
    <row r="555" spans="1:13" ht="15" customHeight="1" x14ac:dyDescent="0.25">
      <c r="A555" s="231" t="s">
        <v>25</v>
      </c>
      <c r="B555" s="68" t="s">
        <v>156</v>
      </c>
      <c r="C555" s="92">
        <v>25</v>
      </c>
      <c r="D555" s="92">
        <v>7</v>
      </c>
      <c r="E555" s="69">
        <v>2.6431102860000002</v>
      </c>
      <c r="F555" s="69">
        <v>0.60856074800725646</v>
      </c>
      <c r="G555" s="69">
        <v>4.3432151919999997</v>
      </c>
      <c r="H555" s="69"/>
      <c r="I555" s="69" t="s">
        <v>191</v>
      </c>
      <c r="J555" s="69" t="s">
        <v>38</v>
      </c>
      <c r="K555" s="232" t="s">
        <v>192</v>
      </c>
      <c r="L555" s="186"/>
      <c r="M555" s="69" t="str">
        <f>CapacityTable[[#This Row],[Model]]&amp;CapacityTable[[#This Row],[Type]]&amp;CapacityTable[[#This Row],[T ext]]&amp;CapacityTable[[#This Row],[T water out]]&amp;CapacityTable[[#This Row],[Results origin]]</f>
        <v>BLW Mono 9.1Best COP257Simulation values</v>
      </c>
    </row>
    <row r="556" spans="1:13" ht="15" customHeight="1" x14ac:dyDescent="0.25">
      <c r="A556" s="231" t="s">
        <v>23</v>
      </c>
      <c r="B556" s="68" t="s">
        <v>156</v>
      </c>
      <c r="C556" s="92">
        <v>25</v>
      </c>
      <c r="D556" s="92">
        <v>18</v>
      </c>
      <c r="E556" s="69">
        <v>3.2511115583258801</v>
      </c>
      <c r="F556" s="69">
        <v>0.53632915937494785</v>
      </c>
      <c r="G556" s="69">
        <v>6.0617840769925904</v>
      </c>
      <c r="H556" s="69"/>
      <c r="I556" s="69" t="s">
        <v>191</v>
      </c>
      <c r="J556" s="69" t="s">
        <v>38</v>
      </c>
      <c r="K556" s="219" t="s">
        <v>192</v>
      </c>
      <c r="L556" s="186"/>
      <c r="M556" s="69" t="str">
        <f>CapacityTable[[#This Row],[Model]]&amp;CapacityTable[[#This Row],[Type]]&amp;CapacityTable[[#This Row],[T ext]]&amp;CapacityTable[[#This Row],[T water out]]&amp;CapacityTable[[#This Row],[Results origin]]</f>
        <v>BLW Mono 6.1Best COP2518Simulation values</v>
      </c>
    </row>
    <row r="557" spans="1:13" ht="15" customHeight="1" x14ac:dyDescent="0.25">
      <c r="A557" s="231" t="s">
        <v>25</v>
      </c>
      <c r="B557" s="68" t="s">
        <v>156</v>
      </c>
      <c r="C557" s="92">
        <v>25</v>
      </c>
      <c r="D557" s="92">
        <v>18</v>
      </c>
      <c r="E557" s="69">
        <v>2.8328991019999998</v>
      </c>
      <c r="F557" s="69">
        <v>0.50755668182024993</v>
      </c>
      <c r="G557" s="69">
        <v>5.581443814</v>
      </c>
      <c r="H557" s="69"/>
      <c r="I557" s="69" t="s">
        <v>191</v>
      </c>
      <c r="J557" s="69" t="s">
        <v>38</v>
      </c>
      <c r="K557" s="232" t="s">
        <v>192</v>
      </c>
      <c r="L557" s="186"/>
      <c r="M557" s="69" t="str">
        <f>CapacityTable[[#This Row],[Model]]&amp;CapacityTable[[#This Row],[Type]]&amp;CapacityTable[[#This Row],[T ext]]&amp;CapacityTable[[#This Row],[T water out]]&amp;CapacityTable[[#This Row],[Results origin]]</f>
        <v>BLW Mono 9.1Best COP2518Simulation values</v>
      </c>
    </row>
    <row r="558" spans="1:13" ht="15" customHeight="1" x14ac:dyDescent="0.25">
      <c r="A558" s="231" t="s">
        <v>23</v>
      </c>
      <c r="B558" s="68" t="s">
        <v>156</v>
      </c>
      <c r="C558" s="92">
        <v>20</v>
      </c>
      <c r="D558" s="92">
        <v>7</v>
      </c>
      <c r="E558" s="69">
        <v>2.6129072741341002</v>
      </c>
      <c r="F558" s="69">
        <v>0.55507585184349606</v>
      </c>
      <c r="G558" s="69">
        <v>4.7072976881559798</v>
      </c>
      <c r="H558" s="69"/>
      <c r="I558" s="69" t="s">
        <v>191</v>
      </c>
      <c r="J558" s="69" t="s">
        <v>38</v>
      </c>
      <c r="K558" s="219" t="s">
        <v>192</v>
      </c>
      <c r="L558" s="186"/>
      <c r="M558" s="69" t="str">
        <f>CapacityTable[[#This Row],[Model]]&amp;CapacityTable[[#This Row],[Type]]&amp;CapacityTable[[#This Row],[T ext]]&amp;CapacityTable[[#This Row],[T water out]]&amp;CapacityTable[[#This Row],[Results origin]]</f>
        <v>BLW Mono 6.1Best COP207Simulation values</v>
      </c>
    </row>
    <row r="559" spans="1:13" ht="15" customHeight="1" x14ac:dyDescent="0.25">
      <c r="A559" s="231" t="s">
        <v>25</v>
      </c>
      <c r="B559" s="68" t="s">
        <v>156</v>
      </c>
      <c r="C559" s="92">
        <v>20</v>
      </c>
      <c r="D559" s="92">
        <v>7</v>
      </c>
      <c r="E559" s="69">
        <v>2.7656620050000003</v>
      </c>
      <c r="F559" s="69">
        <v>0.55085817684727445</v>
      </c>
      <c r="G559" s="69">
        <v>5.0206425560000003</v>
      </c>
      <c r="H559" s="69"/>
      <c r="I559" s="69" t="s">
        <v>191</v>
      </c>
      <c r="J559" s="69" t="s">
        <v>38</v>
      </c>
      <c r="K559" s="232" t="s">
        <v>192</v>
      </c>
      <c r="L559" s="186"/>
      <c r="M559" s="69" t="str">
        <f>CapacityTable[[#This Row],[Model]]&amp;CapacityTable[[#This Row],[Type]]&amp;CapacityTable[[#This Row],[T ext]]&amp;CapacityTable[[#This Row],[T water out]]&amp;CapacityTable[[#This Row],[Results origin]]</f>
        <v>BLW Mono 9.1Best COP207Simulation values</v>
      </c>
    </row>
    <row r="560" spans="1:13" ht="15" customHeight="1" x14ac:dyDescent="0.25">
      <c r="A560" s="231" t="s">
        <v>23</v>
      </c>
      <c r="B560" s="68" t="s">
        <v>156</v>
      </c>
      <c r="C560" s="92">
        <v>20</v>
      </c>
      <c r="D560" s="92">
        <v>18</v>
      </c>
      <c r="E560" s="69">
        <v>2.9307992329702901</v>
      </c>
      <c r="F560" s="69">
        <v>0.41151485556100775</v>
      </c>
      <c r="G560" s="69">
        <v>7.1219767485059702</v>
      </c>
      <c r="H560" s="69"/>
      <c r="I560" s="69" t="s">
        <v>191</v>
      </c>
      <c r="J560" s="69" t="s">
        <v>38</v>
      </c>
      <c r="K560" s="219" t="s">
        <v>192</v>
      </c>
      <c r="L560" s="186"/>
      <c r="M560" s="69" t="str">
        <f>CapacityTable[[#This Row],[Model]]&amp;CapacityTable[[#This Row],[Type]]&amp;CapacityTable[[#This Row],[T ext]]&amp;CapacityTable[[#This Row],[T water out]]&amp;CapacityTable[[#This Row],[Results origin]]</f>
        <v>BLW Mono 6.1Best COP2018Simulation values</v>
      </c>
    </row>
    <row r="561" spans="1:13" ht="15" customHeight="1" x14ac:dyDescent="0.25">
      <c r="A561" s="231" t="s">
        <v>25</v>
      </c>
      <c r="B561" s="68" t="s">
        <v>156</v>
      </c>
      <c r="C561" s="92">
        <v>20</v>
      </c>
      <c r="D561" s="92">
        <v>18</v>
      </c>
      <c r="E561" s="69">
        <v>2.0650186779999999</v>
      </c>
      <c r="F561" s="69">
        <v>0.31719889359863868</v>
      </c>
      <c r="G561" s="69">
        <v>6.5101698639999999</v>
      </c>
      <c r="H561" s="69"/>
      <c r="I561" s="69" t="s">
        <v>191</v>
      </c>
      <c r="J561" s="69" t="s">
        <v>38</v>
      </c>
      <c r="K561" s="219" t="s">
        <v>192</v>
      </c>
      <c r="L561" s="186"/>
      <c r="M561" s="69" t="str">
        <f>CapacityTable[[#This Row],[Model]]&amp;CapacityTable[[#This Row],[Type]]&amp;CapacityTable[[#This Row],[T ext]]&amp;CapacityTable[[#This Row],[T water out]]&amp;CapacityTable[[#This Row],[Results origin]]</f>
        <v>BLW Mono 9.1Best COP2018Simulation values</v>
      </c>
    </row>
    <row r="562" spans="1:13" x14ac:dyDescent="0.25">
      <c r="A562" t="s">
        <v>25</v>
      </c>
      <c r="B562" s="68" t="s">
        <v>165</v>
      </c>
      <c r="C562" s="92">
        <v>45</v>
      </c>
      <c r="D562" s="92">
        <v>7</v>
      </c>
      <c r="E562" s="69">
        <v>5.9611851600000003</v>
      </c>
      <c r="F562" s="69">
        <v>2.6623719080980459</v>
      </c>
      <c r="G562" s="69">
        <v>2.2390505030000001</v>
      </c>
      <c r="H562" s="69"/>
      <c r="I562" s="69" t="s">
        <v>191</v>
      </c>
      <c r="J562" s="69" t="s">
        <v>38</v>
      </c>
      <c r="K562" s="232" t="s">
        <v>192</v>
      </c>
      <c r="L562" s="186"/>
      <c r="M562" s="69" t="str">
        <f>CapacityTable[[#This Row],[Model]]&amp;CapacityTable[[#This Row],[Type]]&amp;CapacityTable[[#This Row],[T ext]]&amp;CapacityTable[[#This Row],[T water out]]&amp;CapacityTable[[#This Row],[Results origin]]</f>
        <v>BLW Mono 9.1Max power457Simulation values</v>
      </c>
    </row>
    <row r="563" spans="1:13" x14ac:dyDescent="0.25">
      <c r="A563" t="s">
        <v>23</v>
      </c>
      <c r="B563" s="68" t="s">
        <v>165</v>
      </c>
      <c r="C563" s="92">
        <v>45</v>
      </c>
      <c r="D563" s="92">
        <v>7</v>
      </c>
      <c r="E563" s="69">
        <v>5.6572933753195001</v>
      </c>
      <c r="F563" s="69">
        <v>2.6329292793389518</v>
      </c>
      <c r="G563" s="69">
        <v>2.1486689444009199</v>
      </c>
      <c r="H563" s="69"/>
      <c r="I563" s="69" t="s">
        <v>191</v>
      </c>
      <c r="J563" s="69" t="s">
        <v>38</v>
      </c>
      <c r="K563" s="232" t="s">
        <v>192</v>
      </c>
      <c r="L563" s="186"/>
      <c r="M563" s="69" t="str">
        <f>CapacityTable[[#This Row],[Model]]&amp;CapacityTable[[#This Row],[Type]]&amp;CapacityTable[[#This Row],[T ext]]&amp;CapacityTable[[#This Row],[T water out]]&amp;CapacityTable[[#This Row],[Results origin]]</f>
        <v>BLW Mono 6.1Max power457Simulation values</v>
      </c>
    </row>
    <row r="564" spans="1:13" ht="15" customHeight="1" x14ac:dyDescent="0.25">
      <c r="A564" t="s">
        <v>25</v>
      </c>
      <c r="B564" s="68" t="s">
        <v>165</v>
      </c>
      <c r="C564" s="217">
        <v>40</v>
      </c>
      <c r="D564" s="92">
        <v>7</v>
      </c>
      <c r="E564" s="69">
        <v>6.2035918670000001</v>
      </c>
      <c r="F564" s="69">
        <v>2.5141433370315194</v>
      </c>
      <c r="G564" s="69">
        <v>2.467477401</v>
      </c>
      <c r="H564" s="69"/>
      <c r="I564" s="69" t="s">
        <v>191</v>
      </c>
      <c r="J564" s="69" t="s">
        <v>38</v>
      </c>
      <c r="K564" s="232" t="s">
        <v>192</v>
      </c>
      <c r="L564" s="186"/>
      <c r="M564" s="69" t="str">
        <f>CapacityTable[[#This Row],[Model]]&amp;CapacityTable[[#This Row],[Type]]&amp;CapacityTable[[#This Row],[T ext]]&amp;CapacityTable[[#This Row],[T water out]]&amp;CapacityTable[[#This Row],[Results origin]]</f>
        <v>BLW Mono 9.1Max power407Simulation values</v>
      </c>
    </row>
    <row r="565" spans="1:13" ht="15" customHeight="1" x14ac:dyDescent="0.25">
      <c r="A565" t="s">
        <v>23</v>
      </c>
      <c r="B565" s="68" t="s">
        <v>165</v>
      </c>
      <c r="C565" s="217">
        <v>45</v>
      </c>
      <c r="D565" s="92">
        <v>18</v>
      </c>
      <c r="E565" s="69">
        <v>5.8023448470030896</v>
      </c>
      <c r="F565" s="69">
        <v>1.7699928862680179</v>
      </c>
      <c r="G565" s="69">
        <v>3.2781741056808298</v>
      </c>
      <c r="H565" s="69"/>
      <c r="I565" s="69" t="s">
        <v>191</v>
      </c>
      <c r="J565" s="69" t="s">
        <v>38</v>
      </c>
      <c r="K565" s="232" t="s">
        <v>192</v>
      </c>
      <c r="L565" s="186"/>
      <c r="M565" s="69" t="str">
        <f>CapacityTable[[#This Row],[Model]]&amp;CapacityTable[[#This Row],[Type]]&amp;CapacityTable[[#This Row],[T ext]]&amp;CapacityTable[[#This Row],[T water out]]&amp;CapacityTable[[#This Row],[Results origin]]</f>
        <v>BLW Mono 6.1Max power4518Simulation values</v>
      </c>
    </row>
    <row r="566" spans="1:13" x14ac:dyDescent="0.25">
      <c r="A566" t="s">
        <v>25</v>
      </c>
      <c r="B566" s="68" t="s">
        <v>165</v>
      </c>
      <c r="C566" s="92">
        <v>35</v>
      </c>
      <c r="D566" s="92">
        <v>7</v>
      </c>
      <c r="E566" s="69">
        <v>6.564014673</v>
      </c>
      <c r="F566" s="69">
        <v>2.3563734657712776</v>
      </c>
      <c r="G566" s="69">
        <v>2.785642755</v>
      </c>
      <c r="H566" s="69"/>
      <c r="I566" s="69" t="s">
        <v>191</v>
      </c>
      <c r="J566" s="69" t="s">
        <v>38</v>
      </c>
      <c r="K566" s="213" t="s">
        <v>193</v>
      </c>
      <c r="L566" s="186"/>
      <c r="M566" s="69" t="str">
        <f>CapacityTable[[#This Row],[Model]]&amp;CapacityTable[[#This Row],[Type]]&amp;CapacityTable[[#This Row],[T ext]]&amp;CapacityTable[[#This Row],[T water out]]&amp;CapacityTable[[#This Row],[Results origin]]</f>
        <v>BLW Mono 9.1Max power357Simulation values</v>
      </c>
    </row>
    <row r="567" spans="1:13" x14ac:dyDescent="0.25">
      <c r="A567" t="s">
        <v>23</v>
      </c>
      <c r="B567" s="68" t="s">
        <v>165</v>
      </c>
      <c r="C567" s="92">
        <v>40</v>
      </c>
      <c r="D567" s="92">
        <v>7</v>
      </c>
      <c r="E567" s="69">
        <v>5.8589590821649997</v>
      </c>
      <c r="F567" s="69">
        <v>2.4916255692443259</v>
      </c>
      <c r="G567" s="69">
        <v>2.3514604900855698</v>
      </c>
      <c r="H567" s="69"/>
      <c r="I567" s="69" t="s">
        <v>191</v>
      </c>
      <c r="J567" s="69" t="s">
        <v>38</v>
      </c>
      <c r="K567" s="232" t="s">
        <v>192</v>
      </c>
      <c r="L567" s="186"/>
      <c r="M567" s="69" t="str">
        <f>CapacityTable[[#This Row],[Model]]&amp;CapacityTable[[#This Row],[Type]]&amp;CapacityTable[[#This Row],[T ext]]&amp;CapacityTable[[#This Row],[T water out]]&amp;CapacityTable[[#This Row],[Results origin]]</f>
        <v>BLW Mono 6.1Max power407Simulation values</v>
      </c>
    </row>
    <row r="568" spans="1:13" ht="15" customHeight="1" x14ac:dyDescent="0.25">
      <c r="A568" t="s">
        <v>25</v>
      </c>
      <c r="B568" s="68" t="s">
        <v>165</v>
      </c>
      <c r="C568" s="92">
        <v>30</v>
      </c>
      <c r="D568" s="92">
        <v>7</v>
      </c>
      <c r="E568" s="69">
        <v>6.9377085730000001</v>
      </c>
      <c r="F568" s="69">
        <v>2.2024365712630587</v>
      </c>
      <c r="G568" s="69">
        <v>3.150015153</v>
      </c>
      <c r="H568" s="69"/>
      <c r="I568" s="69" t="s">
        <v>191</v>
      </c>
      <c r="J568" s="69" t="s">
        <v>38</v>
      </c>
      <c r="K568" s="232" t="s">
        <v>192</v>
      </c>
      <c r="L568" s="186"/>
      <c r="M568" s="69" t="str">
        <f>CapacityTable[[#This Row],[Model]]&amp;CapacityTable[[#This Row],[Type]]&amp;CapacityTable[[#This Row],[T ext]]&amp;CapacityTable[[#This Row],[T water out]]&amp;CapacityTable[[#This Row],[Results origin]]</f>
        <v>BLW Mono 9.1Max power307Simulation values</v>
      </c>
    </row>
    <row r="569" spans="1:13" ht="15" customHeight="1" x14ac:dyDescent="0.25">
      <c r="A569" t="s">
        <v>23</v>
      </c>
      <c r="B569" s="68" t="s">
        <v>165</v>
      </c>
      <c r="C569" s="92">
        <v>40</v>
      </c>
      <c r="D569" s="92">
        <v>18</v>
      </c>
      <c r="E569" s="69">
        <v>5.9696686408604602</v>
      </c>
      <c r="F569" s="69">
        <v>1.6466956776258439</v>
      </c>
      <c r="G569" s="69">
        <v>3.62524097316351</v>
      </c>
      <c r="H569" s="69"/>
      <c r="I569" s="69" t="s">
        <v>191</v>
      </c>
      <c r="J569" s="69" t="s">
        <v>38</v>
      </c>
      <c r="K569" s="232" t="s">
        <v>192</v>
      </c>
      <c r="L569" s="186"/>
      <c r="M569" s="69" t="str">
        <f>CapacityTable[[#This Row],[Model]]&amp;CapacityTable[[#This Row],[Type]]&amp;CapacityTable[[#This Row],[T ext]]&amp;CapacityTable[[#This Row],[T water out]]&amp;CapacityTable[[#This Row],[Results origin]]</f>
        <v>BLW Mono 6.1Max power4018Simulation values</v>
      </c>
    </row>
    <row r="570" spans="1:13" ht="15" customHeight="1" x14ac:dyDescent="0.25">
      <c r="A570" t="s">
        <v>25</v>
      </c>
      <c r="B570" s="68" t="s">
        <v>165</v>
      </c>
      <c r="C570" s="92">
        <v>25</v>
      </c>
      <c r="D570" s="92">
        <v>7</v>
      </c>
      <c r="E570" s="69">
        <v>7.2988749100000003</v>
      </c>
      <c r="F570" s="69">
        <v>2.0533767356627131</v>
      </c>
      <c r="G570" s="69">
        <v>3.5545717369999998</v>
      </c>
      <c r="H570" s="69"/>
      <c r="I570" s="69" t="s">
        <v>191</v>
      </c>
      <c r="J570" s="69" t="s">
        <v>38</v>
      </c>
      <c r="K570" s="232" t="s">
        <v>192</v>
      </c>
      <c r="L570" s="186"/>
      <c r="M570" s="69" t="str">
        <f>CapacityTable[[#This Row],[Model]]&amp;CapacityTable[[#This Row],[Type]]&amp;CapacityTable[[#This Row],[T ext]]&amp;CapacityTable[[#This Row],[T water out]]&amp;CapacityTable[[#This Row],[Results origin]]</f>
        <v>BLW Mono 9.1Max power257Simulation values</v>
      </c>
    </row>
    <row r="571" spans="1:13" ht="15" customHeight="1" x14ac:dyDescent="0.25">
      <c r="A571" t="s">
        <v>23</v>
      </c>
      <c r="B571" s="68" t="s">
        <v>165</v>
      </c>
      <c r="C571" s="92">
        <v>35</v>
      </c>
      <c r="D571" s="92">
        <v>7</v>
      </c>
      <c r="E571" s="69">
        <v>6.0863733750826796</v>
      </c>
      <c r="F571" s="69">
        <v>2.2874690514648441</v>
      </c>
      <c r="G571" s="69">
        <v>2.6607456704977501</v>
      </c>
      <c r="H571" s="69"/>
      <c r="I571" s="69" t="s">
        <v>191</v>
      </c>
      <c r="J571" s="69" t="s">
        <v>38</v>
      </c>
      <c r="K571" s="213" t="s">
        <v>193</v>
      </c>
      <c r="L571" s="186"/>
      <c r="M571" s="69" t="str">
        <f>CapacityTable[[#This Row],[Model]]&amp;CapacityTable[[#This Row],[Type]]&amp;CapacityTable[[#This Row],[T ext]]&amp;CapacityTable[[#This Row],[T water out]]&amp;CapacityTable[[#This Row],[Results origin]]</f>
        <v>BLW Mono 6.1Max power357Simulation values</v>
      </c>
    </row>
    <row r="572" spans="1:13" ht="15" customHeight="1" x14ac:dyDescent="0.25">
      <c r="A572" t="s">
        <v>25</v>
      </c>
      <c r="B572" s="68" t="s">
        <v>165</v>
      </c>
      <c r="C572" s="92">
        <v>20</v>
      </c>
      <c r="D572" s="92">
        <v>7</v>
      </c>
      <c r="E572" s="69">
        <v>7.6668770409999993</v>
      </c>
      <c r="F572" s="69">
        <v>1.9064360082869065</v>
      </c>
      <c r="G572" s="69">
        <v>4.0215758660000001</v>
      </c>
      <c r="H572" s="69"/>
      <c r="I572" s="69" t="s">
        <v>191</v>
      </c>
      <c r="J572" s="69" t="s">
        <v>38</v>
      </c>
      <c r="K572" s="232" t="s">
        <v>192</v>
      </c>
      <c r="L572" s="186"/>
      <c r="M572" s="69" t="str">
        <f>CapacityTable[[#This Row],[Model]]&amp;CapacityTable[[#This Row],[Type]]&amp;CapacityTable[[#This Row],[T ext]]&amp;CapacityTable[[#This Row],[T water out]]&amp;CapacityTable[[#This Row],[Results origin]]</f>
        <v>BLW Mono 9.1Max power207Simulation values</v>
      </c>
    </row>
    <row r="573" spans="1:13" ht="15" customHeight="1" x14ac:dyDescent="0.25">
      <c r="A573" t="s">
        <v>23</v>
      </c>
      <c r="B573" s="68" t="s">
        <v>165</v>
      </c>
      <c r="C573" s="92">
        <v>35</v>
      </c>
      <c r="D573" s="92">
        <v>18</v>
      </c>
      <c r="E573" s="69">
        <v>5.7899427972376696</v>
      </c>
      <c r="F573" s="69">
        <v>1.377244335693198</v>
      </c>
      <c r="G573" s="69">
        <v>4.2040055255144404</v>
      </c>
      <c r="H573" s="69"/>
      <c r="I573" s="69" t="s">
        <v>191</v>
      </c>
      <c r="J573" s="69" t="s">
        <v>38</v>
      </c>
      <c r="K573" s="213" t="s">
        <v>193</v>
      </c>
      <c r="L573" s="186"/>
      <c r="M573" s="69" t="str">
        <f>CapacityTable[[#This Row],[Model]]&amp;CapacityTable[[#This Row],[Type]]&amp;CapacityTable[[#This Row],[T ext]]&amp;CapacityTable[[#This Row],[T water out]]&amp;CapacityTable[[#This Row],[Results origin]]</f>
        <v>BLW Mono 6.1Max power3518Simulation values</v>
      </c>
    </row>
    <row r="574" spans="1:13" ht="15" customHeight="1" x14ac:dyDescent="0.25">
      <c r="A574" t="s">
        <v>25</v>
      </c>
      <c r="B574" s="68" t="s">
        <v>165</v>
      </c>
      <c r="C574" s="92">
        <v>45</v>
      </c>
      <c r="D574" s="92">
        <v>18</v>
      </c>
      <c r="E574" s="69">
        <v>8.487886829999999</v>
      </c>
      <c r="F574" s="69">
        <v>2.8539269660728888</v>
      </c>
      <c r="G574" s="69">
        <v>2.974107933</v>
      </c>
      <c r="H574" s="69"/>
      <c r="I574" s="69" t="s">
        <v>191</v>
      </c>
      <c r="J574" s="69" t="s">
        <v>38</v>
      </c>
      <c r="K574" s="232" t="s">
        <v>192</v>
      </c>
      <c r="L574" s="186"/>
      <c r="M574" s="69" t="str">
        <f>CapacityTable[[#This Row],[Model]]&amp;CapacityTable[[#This Row],[Type]]&amp;CapacityTable[[#This Row],[T ext]]&amp;CapacityTable[[#This Row],[T water out]]&amp;CapacityTable[[#This Row],[Results origin]]</f>
        <v>BLW Mono 9.1Max power4518Simulation values</v>
      </c>
    </row>
    <row r="575" spans="1:13" ht="15" customHeight="1" x14ac:dyDescent="0.25">
      <c r="A575" t="s">
        <v>23</v>
      </c>
      <c r="B575" s="68" t="s">
        <v>165</v>
      </c>
      <c r="C575" s="92">
        <v>30</v>
      </c>
      <c r="D575" s="92">
        <v>7</v>
      </c>
      <c r="E575" s="69">
        <v>6.0709585773035997</v>
      </c>
      <c r="F575" s="69">
        <v>1.9846826171906704</v>
      </c>
      <c r="G575" s="69">
        <v>3.0589065096448902</v>
      </c>
      <c r="H575" s="69"/>
      <c r="I575" s="69" t="s">
        <v>191</v>
      </c>
      <c r="J575" s="69" t="s">
        <v>38</v>
      </c>
      <c r="K575" s="232" t="s">
        <v>192</v>
      </c>
      <c r="L575" s="186"/>
      <c r="M575" s="69" t="str">
        <f>CapacityTable[[#This Row],[Model]]&amp;CapacityTable[[#This Row],[Type]]&amp;CapacityTable[[#This Row],[T ext]]&amp;CapacityTable[[#This Row],[T water out]]&amp;CapacityTable[[#This Row],[Results origin]]</f>
        <v>BLW Mono 6.1Max power307Simulation values</v>
      </c>
    </row>
    <row r="576" spans="1:13" ht="15" customHeight="1" x14ac:dyDescent="0.25">
      <c r="A576" t="s">
        <v>25</v>
      </c>
      <c r="B576" s="68" t="s">
        <v>165</v>
      </c>
      <c r="C576" s="92">
        <v>40</v>
      </c>
      <c r="D576" s="92">
        <v>18</v>
      </c>
      <c r="E576" s="69">
        <v>8.9990096130000001</v>
      </c>
      <c r="F576" s="69">
        <v>2.6644918505764394</v>
      </c>
      <c r="G576" s="69">
        <v>3.3773830500000002</v>
      </c>
      <c r="H576" s="69"/>
      <c r="I576" s="69" t="s">
        <v>191</v>
      </c>
      <c r="J576" s="69" t="s">
        <v>38</v>
      </c>
      <c r="K576" s="232" t="s">
        <v>192</v>
      </c>
      <c r="L576" s="186"/>
      <c r="M576" s="69" t="str">
        <f>CapacityTable[[#This Row],[Model]]&amp;CapacityTable[[#This Row],[Type]]&amp;CapacityTable[[#This Row],[T ext]]&amp;CapacityTable[[#This Row],[T water out]]&amp;CapacityTable[[#This Row],[Results origin]]</f>
        <v>BLW Mono 9.1Max power4018Simulation values</v>
      </c>
    </row>
    <row r="577" spans="1:13" ht="15" customHeight="1" x14ac:dyDescent="0.25">
      <c r="A577" t="s">
        <v>23</v>
      </c>
      <c r="B577" s="68" t="s">
        <v>165</v>
      </c>
      <c r="C577" s="92">
        <v>30</v>
      </c>
      <c r="D577" s="92">
        <v>18</v>
      </c>
      <c r="E577" s="69">
        <v>6.06435616644848</v>
      </c>
      <c r="F577" s="69">
        <v>1.2697740607383043</v>
      </c>
      <c r="G577" s="69">
        <v>4.7759332577028601</v>
      </c>
      <c r="H577" s="69"/>
      <c r="I577" s="69" t="s">
        <v>191</v>
      </c>
      <c r="J577" s="69" t="s">
        <v>38</v>
      </c>
      <c r="K577" s="232" t="s">
        <v>192</v>
      </c>
      <c r="L577" s="186"/>
      <c r="M577" s="69" t="str">
        <f>CapacityTable[[#This Row],[Model]]&amp;CapacityTable[[#This Row],[Type]]&amp;CapacityTable[[#This Row],[T ext]]&amp;CapacityTable[[#This Row],[T water out]]&amp;CapacityTable[[#This Row],[Results origin]]</f>
        <v>BLW Mono 6.1Max power3018Simulation values</v>
      </c>
    </row>
    <row r="578" spans="1:13" ht="15" customHeight="1" x14ac:dyDescent="0.25">
      <c r="A578" t="s">
        <v>25</v>
      </c>
      <c r="B578" s="68" t="s">
        <v>165</v>
      </c>
      <c r="C578" s="92">
        <v>35</v>
      </c>
      <c r="D578" s="92">
        <v>18</v>
      </c>
      <c r="E578" s="69">
        <v>9.1301788049999999</v>
      </c>
      <c r="F578" s="69">
        <v>2.3510156256709265</v>
      </c>
      <c r="G578" s="69">
        <v>3.883504093</v>
      </c>
      <c r="H578" s="69"/>
      <c r="I578" s="69" t="s">
        <v>191</v>
      </c>
      <c r="J578" s="69" t="s">
        <v>38</v>
      </c>
      <c r="K578" s="213" t="s">
        <v>193</v>
      </c>
      <c r="L578" s="186"/>
      <c r="M578" s="69" t="str">
        <f>CapacityTable[[#This Row],[Model]]&amp;CapacityTable[[#This Row],[Type]]&amp;CapacityTable[[#This Row],[T ext]]&amp;CapacityTable[[#This Row],[T water out]]&amp;CapacityTable[[#This Row],[Results origin]]</f>
        <v>BLW Mono 9.1Max power3518Simulation values</v>
      </c>
    </row>
    <row r="579" spans="1:13" ht="15" customHeight="1" x14ac:dyDescent="0.25">
      <c r="A579" t="s">
        <v>23</v>
      </c>
      <c r="B579" s="68" t="s">
        <v>165</v>
      </c>
      <c r="C579" s="92">
        <v>25</v>
      </c>
      <c r="D579" s="92">
        <v>7</v>
      </c>
      <c r="E579" s="69">
        <v>5.8685386172129999</v>
      </c>
      <c r="F579" s="69">
        <v>1.6460295899307067</v>
      </c>
      <c r="G579" s="69">
        <v>3.56526921090164</v>
      </c>
      <c r="H579" s="69"/>
      <c r="I579" s="69" t="s">
        <v>191</v>
      </c>
      <c r="J579" s="69" t="s">
        <v>38</v>
      </c>
      <c r="K579" s="232" t="s">
        <v>192</v>
      </c>
      <c r="L579" s="186"/>
      <c r="M579" s="69" t="str">
        <f>CapacityTable[[#This Row],[Model]]&amp;CapacityTable[[#This Row],[Type]]&amp;CapacityTable[[#This Row],[T ext]]&amp;CapacityTable[[#This Row],[T water out]]&amp;CapacityTable[[#This Row],[Results origin]]</f>
        <v>BLW Mono 6.1Max power257Simulation values</v>
      </c>
    </row>
    <row r="580" spans="1:13" ht="15" customHeight="1" x14ac:dyDescent="0.25">
      <c r="A580" t="s">
        <v>25</v>
      </c>
      <c r="B580" s="68" t="s">
        <v>165</v>
      </c>
      <c r="C580" s="92">
        <v>30</v>
      </c>
      <c r="D580" s="92">
        <v>18</v>
      </c>
      <c r="E580" s="69">
        <v>9.104190452000001</v>
      </c>
      <c r="F580" s="69">
        <v>2.0227904489763078</v>
      </c>
      <c r="G580" s="69">
        <v>4.5008075139999999</v>
      </c>
      <c r="H580" s="69"/>
      <c r="I580" s="69" t="s">
        <v>191</v>
      </c>
      <c r="J580" s="69" t="s">
        <v>38</v>
      </c>
      <c r="K580" s="232" t="s">
        <v>192</v>
      </c>
      <c r="L580" s="186"/>
      <c r="M580" s="69" t="str">
        <f>CapacityTable[[#This Row],[Model]]&amp;CapacityTable[[#This Row],[Type]]&amp;CapacityTable[[#This Row],[T ext]]&amp;CapacityTable[[#This Row],[T water out]]&amp;CapacityTable[[#This Row],[Results origin]]</f>
        <v>BLW Mono 9.1Max power3018Simulation values</v>
      </c>
    </row>
    <row r="581" spans="1:13" ht="15" customHeight="1" x14ac:dyDescent="0.25">
      <c r="A581" t="s">
        <v>23</v>
      </c>
      <c r="B581" s="68" t="s">
        <v>165</v>
      </c>
      <c r="C581" s="92">
        <v>25</v>
      </c>
      <c r="D581" s="92">
        <v>18</v>
      </c>
      <c r="E581" s="69">
        <v>5.80178024595374</v>
      </c>
      <c r="F581" s="69">
        <v>1.0360556548695099</v>
      </c>
      <c r="G581" s="69">
        <v>5.5998731522627203</v>
      </c>
      <c r="H581" s="69"/>
      <c r="I581" s="69" t="s">
        <v>191</v>
      </c>
      <c r="J581" s="69" t="s">
        <v>38</v>
      </c>
      <c r="K581" s="232" t="s">
        <v>192</v>
      </c>
      <c r="L581" s="186"/>
      <c r="M581" s="69" t="str">
        <f>CapacityTable[[#This Row],[Model]]&amp;CapacityTable[[#This Row],[Type]]&amp;CapacityTable[[#This Row],[T ext]]&amp;CapacityTable[[#This Row],[T water out]]&amp;CapacityTable[[#This Row],[Results origin]]</f>
        <v>BLW Mono 6.1Max power2518Simulation values</v>
      </c>
    </row>
    <row r="582" spans="1:13" ht="15" customHeight="1" x14ac:dyDescent="0.25">
      <c r="A582" t="s">
        <v>25</v>
      </c>
      <c r="B582" s="68" t="s">
        <v>165</v>
      </c>
      <c r="C582" s="92">
        <v>25</v>
      </c>
      <c r="D582" s="92">
        <v>18</v>
      </c>
      <c r="E582" s="69">
        <v>8.9483330960000007</v>
      </c>
      <c r="F582" s="69">
        <v>1.7008673094113438</v>
      </c>
      <c r="G582" s="69">
        <v>5.261041262</v>
      </c>
      <c r="H582" s="69"/>
      <c r="I582" s="69" t="s">
        <v>191</v>
      </c>
      <c r="J582" s="69" t="s">
        <v>38</v>
      </c>
      <c r="K582" s="232" t="s">
        <v>192</v>
      </c>
      <c r="L582" s="186"/>
      <c r="M582" s="69" t="str">
        <f>CapacityTable[[#This Row],[Model]]&amp;CapacityTable[[#This Row],[Type]]&amp;CapacityTable[[#This Row],[T ext]]&amp;CapacityTable[[#This Row],[T water out]]&amp;CapacityTable[[#This Row],[Results origin]]</f>
        <v>BLW Mono 9.1Max power2518Simulation values</v>
      </c>
    </row>
    <row r="583" spans="1:13" ht="15" customHeight="1" x14ac:dyDescent="0.25">
      <c r="A583" t="s">
        <v>23</v>
      </c>
      <c r="B583" s="68" t="s">
        <v>165</v>
      </c>
      <c r="C583" s="92">
        <v>20</v>
      </c>
      <c r="D583" s="92">
        <v>7</v>
      </c>
      <c r="E583" s="69">
        <v>5.7747098348207802</v>
      </c>
      <c r="F583" s="69">
        <v>1.3970234108278097</v>
      </c>
      <c r="G583" s="69">
        <v>4.1335812915253598</v>
      </c>
      <c r="H583" s="69"/>
      <c r="I583" s="69" t="s">
        <v>191</v>
      </c>
      <c r="J583" s="69" t="s">
        <v>38</v>
      </c>
      <c r="K583" s="232" t="s">
        <v>192</v>
      </c>
      <c r="L583" s="186"/>
      <c r="M583" s="69" t="str">
        <f>CapacityTable[[#This Row],[Model]]&amp;CapacityTable[[#This Row],[Type]]&amp;CapacityTable[[#This Row],[T ext]]&amp;CapacityTable[[#This Row],[T water out]]&amp;CapacityTable[[#This Row],[Results origin]]</f>
        <v>BLW Mono 6.1Max power207Simulation values</v>
      </c>
    </row>
    <row r="584" spans="1:13" ht="15" customHeight="1" x14ac:dyDescent="0.25">
      <c r="A584" t="s">
        <v>25</v>
      </c>
      <c r="B584" s="68" t="s">
        <v>165</v>
      </c>
      <c r="C584" s="92">
        <v>20</v>
      </c>
      <c r="D584" s="92">
        <v>18</v>
      </c>
      <c r="E584" s="69">
        <v>8.780449162</v>
      </c>
      <c r="F584" s="69">
        <v>1.4201289226135674</v>
      </c>
      <c r="G584" s="69">
        <v>6.1828535579999997</v>
      </c>
      <c r="H584" s="69"/>
      <c r="I584" s="69" t="s">
        <v>191</v>
      </c>
      <c r="J584" s="69" t="s">
        <v>38</v>
      </c>
      <c r="K584" s="232" t="s">
        <v>192</v>
      </c>
      <c r="L584" s="186"/>
      <c r="M584" s="69" t="str">
        <f>CapacityTable[[#This Row],[Model]]&amp;CapacityTable[[#This Row],[Type]]&amp;CapacityTable[[#This Row],[T ext]]&amp;CapacityTable[[#This Row],[T water out]]&amp;CapacityTable[[#This Row],[Results origin]]</f>
        <v>BLW Mono 9.1Max power2018Simulation values</v>
      </c>
    </row>
    <row r="585" spans="1:13" ht="15" customHeight="1" x14ac:dyDescent="0.25">
      <c r="A585" t="s">
        <v>23</v>
      </c>
      <c r="B585" s="68" t="s">
        <v>165</v>
      </c>
      <c r="C585" s="92">
        <v>20</v>
      </c>
      <c r="D585" s="92">
        <v>18</v>
      </c>
      <c r="E585" s="69">
        <v>6.0637795762916999</v>
      </c>
      <c r="F585" s="69">
        <v>0.94170266825917914</v>
      </c>
      <c r="G585" s="69">
        <v>6.4391657586583397</v>
      </c>
      <c r="H585" s="69"/>
      <c r="I585" s="69" t="s">
        <v>191</v>
      </c>
      <c r="J585" s="69" t="s">
        <v>38</v>
      </c>
      <c r="K585" s="232" t="s">
        <v>192</v>
      </c>
      <c r="L585" s="186"/>
      <c r="M585" s="69" t="str">
        <f>CapacityTable[[#This Row],[Model]]&amp;CapacityTable[[#This Row],[Type]]&amp;CapacityTable[[#This Row],[T ext]]&amp;CapacityTable[[#This Row],[T water out]]&amp;CapacityTable[[#This Row],[Results origin]]</f>
        <v>BLW Mono 6.1Max power2018Simulation values</v>
      </c>
    </row>
    <row r="586" spans="1:13" x14ac:dyDescent="0.25">
      <c r="A586" t="s">
        <v>23</v>
      </c>
      <c r="B586" s="68" t="s">
        <v>166</v>
      </c>
      <c r="C586" s="92">
        <v>45</v>
      </c>
      <c r="D586" s="92">
        <v>7</v>
      </c>
      <c r="E586" s="69">
        <v>1.1553551323581801</v>
      </c>
      <c r="F586" s="69">
        <v>0.45661717791800793</v>
      </c>
      <c r="G586" s="69">
        <v>2.5302489442603502</v>
      </c>
      <c r="H586" s="69"/>
      <c r="I586" s="69" t="s">
        <v>191</v>
      </c>
      <c r="J586" s="69" t="s">
        <v>38</v>
      </c>
      <c r="K586" s="232" t="s">
        <v>192</v>
      </c>
      <c r="L586" s="186"/>
      <c r="M586" s="69" t="str">
        <f>CapacityTable[[#This Row],[Model]]&amp;CapacityTable[[#This Row],[Type]]&amp;CapacityTable[[#This Row],[T ext]]&amp;CapacityTable[[#This Row],[T water out]]&amp;CapacityTable[[#This Row],[Results origin]]</f>
        <v>BLW Mono 6.1Min power457Simulation values</v>
      </c>
    </row>
    <row r="587" spans="1:13" x14ac:dyDescent="0.25">
      <c r="A587" t="s">
        <v>25</v>
      </c>
      <c r="B587" s="68" t="s">
        <v>166</v>
      </c>
      <c r="C587" s="92">
        <v>45</v>
      </c>
      <c r="D587" s="92">
        <v>7</v>
      </c>
      <c r="E587" s="69">
        <v>1.2243290260000002</v>
      </c>
      <c r="F587" s="69">
        <v>0.45504817014650156</v>
      </c>
      <c r="G587" s="69">
        <v>2.69054818</v>
      </c>
      <c r="H587" s="69"/>
      <c r="I587" s="69" t="s">
        <v>191</v>
      </c>
      <c r="J587" s="69" t="s">
        <v>38</v>
      </c>
      <c r="K587" s="232" t="s">
        <v>192</v>
      </c>
      <c r="L587" s="186"/>
      <c r="M587" s="69" t="str">
        <f>CapacityTable[[#This Row],[Model]]&amp;CapacityTable[[#This Row],[Type]]&amp;CapacityTable[[#This Row],[T ext]]&amp;CapacityTable[[#This Row],[T water out]]&amp;CapacityTable[[#This Row],[Results origin]]</f>
        <v>BLW Mono 9.1Min power457Simulation values</v>
      </c>
    </row>
    <row r="588" spans="1:13" ht="15" customHeight="1" x14ac:dyDescent="0.25">
      <c r="A588" t="s">
        <v>23</v>
      </c>
      <c r="B588" s="68" t="s">
        <v>166</v>
      </c>
      <c r="C588" s="217">
        <v>45</v>
      </c>
      <c r="D588" s="92">
        <v>18</v>
      </c>
      <c r="E588" s="69">
        <v>1.67327248695164</v>
      </c>
      <c r="F588" s="69">
        <v>0.45711889509891279</v>
      </c>
      <c r="G588" s="69">
        <v>3.66047543624197</v>
      </c>
      <c r="H588" s="69"/>
      <c r="I588" s="69" t="s">
        <v>191</v>
      </c>
      <c r="J588" s="69" t="s">
        <v>38</v>
      </c>
      <c r="K588" s="232" t="s">
        <v>192</v>
      </c>
      <c r="L588" s="186"/>
      <c r="M588" s="69" t="str">
        <f>CapacityTable[[#This Row],[Model]]&amp;CapacityTable[[#This Row],[Type]]&amp;CapacityTable[[#This Row],[T ext]]&amp;CapacityTable[[#This Row],[T water out]]&amp;CapacityTable[[#This Row],[Results origin]]</f>
        <v>BLW Mono 6.1Min power4518Simulation values</v>
      </c>
    </row>
    <row r="589" spans="1:13" ht="15" customHeight="1" x14ac:dyDescent="0.25">
      <c r="A589" t="s">
        <v>25</v>
      </c>
      <c r="B589" s="68" t="s">
        <v>166</v>
      </c>
      <c r="C589" s="217">
        <v>45</v>
      </c>
      <c r="D589" s="92">
        <v>18</v>
      </c>
      <c r="E589" s="69">
        <v>1.7684345510000001</v>
      </c>
      <c r="F589" s="69">
        <v>0.45490294116269869</v>
      </c>
      <c r="G589" s="69">
        <v>3.8874986090000001</v>
      </c>
      <c r="H589" s="69"/>
      <c r="I589" s="69" t="s">
        <v>191</v>
      </c>
      <c r="J589" s="69" t="s">
        <v>38</v>
      </c>
      <c r="K589" s="232" t="s">
        <v>192</v>
      </c>
      <c r="L589" s="186"/>
      <c r="M589" s="69" t="str">
        <f>CapacityTable[[#This Row],[Model]]&amp;CapacityTable[[#This Row],[Type]]&amp;CapacityTable[[#This Row],[T ext]]&amp;CapacityTable[[#This Row],[T water out]]&amp;CapacityTable[[#This Row],[Results origin]]</f>
        <v>BLW Mono 9.1Min power4518Simulation values</v>
      </c>
    </row>
    <row r="590" spans="1:13" x14ac:dyDescent="0.25">
      <c r="A590" t="s">
        <v>23</v>
      </c>
      <c r="B590" s="68" t="s">
        <v>166</v>
      </c>
      <c r="C590" s="92">
        <v>40</v>
      </c>
      <c r="D590" s="92">
        <v>7</v>
      </c>
      <c r="E590" s="69">
        <v>1.17500962042978</v>
      </c>
      <c r="F590" s="69">
        <v>0.44658410387622632</v>
      </c>
      <c r="G590" s="69">
        <v>2.6311048920707698</v>
      </c>
      <c r="H590" s="69"/>
      <c r="I590" s="69" t="s">
        <v>191</v>
      </c>
      <c r="J590" s="69" t="s">
        <v>38</v>
      </c>
      <c r="K590" s="232" t="s">
        <v>192</v>
      </c>
      <c r="L590" s="186"/>
      <c r="M590" s="69" t="str">
        <f>CapacityTable[[#This Row],[Model]]&amp;CapacityTable[[#This Row],[Type]]&amp;CapacityTable[[#This Row],[T ext]]&amp;CapacityTable[[#This Row],[T water out]]&amp;CapacityTable[[#This Row],[Results origin]]</f>
        <v>BLW Mono 6.1Min power407Simulation values</v>
      </c>
    </row>
    <row r="591" spans="1:13" x14ac:dyDescent="0.25">
      <c r="A591" t="s">
        <v>25</v>
      </c>
      <c r="B591" s="68" t="s">
        <v>166</v>
      </c>
      <c r="C591" s="92">
        <v>40</v>
      </c>
      <c r="D591" s="92">
        <v>7</v>
      </c>
      <c r="E591" s="69">
        <v>1.2451865019999999</v>
      </c>
      <c r="F591" s="69">
        <v>0.44200022807487399</v>
      </c>
      <c r="G591" s="69">
        <v>2.817162578</v>
      </c>
      <c r="H591" s="69"/>
      <c r="I591" s="69" t="s">
        <v>191</v>
      </c>
      <c r="J591" s="69" t="s">
        <v>38</v>
      </c>
      <c r="K591" s="232" t="s">
        <v>192</v>
      </c>
      <c r="L591" s="186"/>
      <c r="M591" s="69" t="str">
        <f>CapacityTable[[#This Row],[Model]]&amp;CapacityTable[[#This Row],[Type]]&amp;CapacityTable[[#This Row],[T ext]]&amp;CapacityTable[[#This Row],[T water out]]&amp;CapacityTable[[#This Row],[Results origin]]</f>
        <v>BLW Mono 9.1Min power407Simulation values</v>
      </c>
    </row>
    <row r="592" spans="1:13" ht="15" customHeight="1" x14ac:dyDescent="0.25">
      <c r="A592" t="s">
        <v>23</v>
      </c>
      <c r="B592" s="68" t="s">
        <v>166</v>
      </c>
      <c r="C592" s="92">
        <v>40</v>
      </c>
      <c r="D592" s="92">
        <v>18</v>
      </c>
      <c r="E592" s="69">
        <v>1.70726566020223</v>
      </c>
      <c r="F592" s="69">
        <v>0.43774487776518939</v>
      </c>
      <c r="G592" s="69">
        <v>3.9001385211365598</v>
      </c>
      <c r="H592" s="69"/>
      <c r="I592" s="69" t="s">
        <v>191</v>
      </c>
      <c r="J592" s="69" t="s">
        <v>38</v>
      </c>
      <c r="K592" s="232" t="s">
        <v>192</v>
      </c>
      <c r="L592" s="186"/>
      <c r="M592" s="69" t="str">
        <f>CapacityTable[[#This Row],[Model]]&amp;CapacityTable[[#This Row],[Type]]&amp;CapacityTable[[#This Row],[T ext]]&amp;CapacityTable[[#This Row],[T water out]]&amp;CapacityTable[[#This Row],[Results origin]]</f>
        <v>BLW Mono 6.1Min power4018Simulation values</v>
      </c>
    </row>
    <row r="593" spans="1:13" ht="15" customHeight="1" x14ac:dyDescent="0.25">
      <c r="A593" t="s">
        <v>25</v>
      </c>
      <c r="B593" s="68" t="s">
        <v>166</v>
      </c>
      <c r="C593" s="92">
        <v>40</v>
      </c>
      <c r="D593" s="92">
        <v>18</v>
      </c>
      <c r="E593" s="69">
        <v>1.8049784400000002</v>
      </c>
      <c r="F593" s="69">
        <v>0.4322764167963411</v>
      </c>
      <c r="G593" s="69">
        <v>4.1755191119999999</v>
      </c>
      <c r="H593" s="69"/>
      <c r="I593" s="69" t="s">
        <v>191</v>
      </c>
      <c r="J593" s="69" t="s">
        <v>38</v>
      </c>
      <c r="K593" s="232" t="s">
        <v>192</v>
      </c>
      <c r="L593" s="186"/>
      <c r="M593" s="69" t="str">
        <f>CapacityTable[[#This Row],[Model]]&amp;CapacityTable[[#This Row],[Type]]&amp;CapacityTable[[#This Row],[T ext]]&amp;CapacityTable[[#This Row],[T water out]]&amp;CapacityTable[[#This Row],[Results origin]]</f>
        <v>BLW Mono 9.1Min power4018Simulation values</v>
      </c>
    </row>
    <row r="594" spans="1:13" ht="15" customHeight="1" x14ac:dyDescent="0.25">
      <c r="A594" t="s">
        <v>23</v>
      </c>
      <c r="B594" s="68" t="s">
        <v>166</v>
      </c>
      <c r="C594" s="92">
        <v>35</v>
      </c>
      <c r="D594" s="92">
        <v>7</v>
      </c>
      <c r="E594" s="69">
        <v>1.22345542892242</v>
      </c>
      <c r="F594" s="69">
        <v>0.4108351314520185</v>
      </c>
      <c r="G594" s="69">
        <v>2.97797178298348</v>
      </c>
      <c r="H594" s="69"/>
      <c r="I594" s="69" t="s">
        <v>191</v>
      </c>
      <c r="J594" s="69" t="s">
        <v>38</v>
      </c>
      <c r="K594" s="213" t="s">
        <v>193</v>
      </c>
      <c r="L594" s="186"/>
      <c r="M594" s="69" t="str">
        <f>CapacityTable[[#This Row],[Model]]&amp;CapacityTable[[#This Row],[Type]]&amp;CapacityTable[[#This Row],[T ext]]&amp;CapacityTable[[#This Row],[T water out]]&amp;CapacityTable[[#This Row],[Results origin]]</f>
        <v>BLW Mono 6.1Min power357Simulation values</v>
      </c>
    </row>
    <row r="595" spans="1:13" ht="15" customHeight="1" x14ac:dyDescent="0.25">
      <c r="A595" t="s">
        <v>25</v>
      </c>
      <c r="B595" s="68" t="s">
        <v>166</v>
      </c>
      <c r="C595" s="92">
        <v>35</v>
      </c>
      <c r="D595" s="92">
        <v>7</v>
      </c>
      <c r="E595" s="69">
        <v>1.29757751</v>
      </c>
      <c r="F595" s="69">
        <v>0.40526851087074045</v>
      </c>
      <c r="G595" s="69">
        <v>3.2017723440000001</v>
      </c>
      <c r="H595" s="69"/>
      <c r="I595" s="69" t="s">
        <v>191</v>
      </c>
      <c r="J595" s="69" t="s">
        <v>38</v>
      </c>
      <c r="K595" s="213" t="s">
        <v>193</v>
      </c>
      <c r="L595" s="186"/>
      <c r="M595" s="69" t="str">
        <f>CapacityTable[[#This Row],[Model]]&amp;CapacityTable[[#This Row],[Type]]&amp;CapacityTable[[#This Row],[T ext]]&amp;CapacityTable[[#This Row],[T water out]]&amp;CapacityTable[[#This Row],[Results origin]]</f>
        <v>BLW Mono 9.1Min power357Simulation values</v>
      </c>
    </row>
    <row r="596" spans="1:13" ht="15" customHeight="1" x14ac:dyDescent="0.25">
      <c r="A596" t="s">
        <v>23</v>
      </c>
      <c r="B596" s="68" t="s">
        <v>166</v>
      </c>
      <c r="C596" s="92">
        <v>35</v>
      </c>
      <c r="D596" s="92">
        <v>18</v>
      </c>
      <c r="E596" s="69">
        <v>1.78393066588259</v>
      </c>
      <c r="F596" s="69">
        <v>0.39846638243615029</v>
      </c>
      <c r="G596" s="69">
        <v>4.4769916472651099</v>
      </c>
      <c r="H596" s="69"/>
      <c r="I596" s="69" t="s">
        <v>191</v>
      </c>
      <c r="J596" s="69" t="s">
        <v>38</v>
      </c>
      <c r="K596" s="213" t="s">
        <v>193</v>
      </c>
      <c r="L596" s="186"/>
      <c r="M596" s="69" t="str">
        <f>CapacityTable[[#This Row],[Model]]&amp;CapacityTable[[#This Row],[Type]]&amp;CapacityTable[[#This Row],[T ext]]&amp;CapacityTable[[#This Row],[T water out]]&amp;CapacityTable[[#This Row],[Results origin]]</f>
        <v>BLW Mono 6.1Min power3518Simulation values</v>
      </c>
    </row>
    <row r="597" spans="1:13" ht="15" customHeight="1" x14ac:dyDescent="0.25">
      <c r="A597" t="s">
        <v>25</v>
      </c>
      <c r="B597" s="68" t="s">
        <v>166</v>
      </c>
      <c r="C597" s="92">
        <v>35</v>
      </c>
      <c r="D597" s="92">
        <v>18</v>
      </c>
      <c r="E597" s="69">
        <v>1.888545205</v>
      </c>
      <c r="F597" s="69">
        <v>0.39197176081277096</v>
      </c>
      <c r="G597" s="69">
        <v>4.8180644470000002</v>
      </c>
      <c r="H597" s="69"/>
      <c r="I597" s="69" t="s">
        <v>191</v>
      </c>
      <c r="J597" s="69" t="s">
        <v>38</v>
      </c>
      <c r="K597" s="213" t="s">
        <v>193</v>
      </c>
      <c r="L597" s="186"/>
      <c r="M597" s="69" t="str">
        <f>CapacityTable[[#This Row],[Model]]&amp;CapacityTable[[#This Row],[Type]]&amp;CapacityTable[[#This Row],[T ext]]&amp;CapacityTable[[#This Row],[T water out]]&amp;CapacityTable[[#This Row],[Results origin]]</f>
        <v>BLW Mono 9.1Min power3518Simulation values</v>
      </c>
    </row>
    <row r="598" spans="1:13" ht="15" customHeight="1" x14ac:dyDescent="0.25">
      <c r="A598" t="s">
        <v>23</v>
      </c>
      <c r="B598" s="68" t="s">
        <v>166</v>
      </c>
      <c r="C598" s="92">
        <v>30</v>
      </c>
      <c r="D598" s="92">
        <v>7</v>
      </c>
      <c r="E598" s="69">
        <v>1.27450030960195</v>
      </c>
      <c r="F598" s="69">
        <v>0.3770662339729301</v>
      </c>
      <c r="G598" s="69">
        <v>3.3800435965142599</v>
      </c>
      <c r="H598" s="69"/>
      <c r="I598" s="69" t="s">
        <v>191</v>
      </c>
      <c r="J598" s="69" t="s">
        <v>38</v>
      </c>
      <c r="K598" s="232" t="s">
        <v>192</v>
      </c>
      <c r="L598" s="186"/>
      <c r="M598" s="69" t="str">
        <f>CapacityTable[[#This Row],[Model]]&amp;CapacityTable[[#This Row],[Type]]&amp;CapacityTable[[#This Row],[T ext]]&amp;CapacityTable[[#This Row],[T water out]]&amp;CapacityTable[[#This Row],[Results origin]]</f>
        <v>BLW Mono 6.1Min power307Simulation values</v>
      </c>
    </row>
    <row r="599" spans="1:13" ht="15" customHeight="1" x14ac:dyDescent="0.25">
      <c r="A599" t="s">
        <v>25</v>
      </c>
      <c r="B599" s="68" t="s">
        <v>166</v>
      </c>
      <c r="C599" s="92">
        <v>30</v>
      </c>
      <c r="D599" s="92">
        <v>7</v>
      </c>
      <c r="E599" s="69">
        <v>1.352173683</v>
      </c>
      <c r="F599" s="69">
        <v>0.37066943835578542</v>
      </c>
      <c r="G599" s="69">
        <v>3.647923306</v>
      </c>
      <c r="H599" s="69"/>
      <c r="I599" s="69" t="s">
        <v>191</v>
      </c>
      <c r="J599" s="69" t="s">
        <v>38</v>
      </c>
      <c r="K599" s="232" t="s">
        <v>192</v>
      </c>
      <c r="L599" s="186"/>
      <c r="M599" s="69" t="str">
        <f>CapacityTable[[#This Row],[Model]]&amp;CapacityTable[[#This Row],[Type]]&amp;CapacityTable[[#This Row],[T ext]]&amp;CapacityTable[[#This Row],[T water out]]&amp;CapacityTable[[#This Row],[Results origin]]</f>
        <v>BLW Mono 9.1Min power307Simulation values</v>
      </c>
    </row>
    <row r="600" spans="1:13" ht="15" customHeight="1" x14ac:dyDescent="0.25">
      <c r="A600" t="s">
        <v>23</v>
      </c>
      <c r="B600" s="68" t="s">
        <v>166</v>
      </c>
      <c r="C600" s="92">
        <v>30</v>
      </c>
      <c r="D600" s="92">
        <v>18</v>
      </c>
      <c r="E600" s="69">
        <v>1.86268660823995</v>
      </c>
      <c r="F600" s="69">
        <v>0.36150315521749604</v>
      </c>
      <c r="G600" s="69">
        <v>5.1526150777834197</v>
      </c>
      <c r="H600" s="69"/>
      <c r="I600" s="69" t="s">
        <v>191</v>
      </c>
      <c r="J600" s="69" t="s">
        <v>38</v>
      </c>
      <c r="K600" s="232" t="s">
        <v>192</v>
      </c>
      <c r="L600" s="186"/>
      <c r="M600" s="69" t="str">
        <f>CapacityTable[[#This Row],[Model]]&amp;CapacityTable[[#This Row],[Type]]&amp;CapacityTable[[#This Row],[T ext]]&amp;CapacityTable[[#This Row],[T water out]]&amp;CapacityTable[[#This Row],[Results origin]]</f>
        <v>BLW Mono 6.1Min power3018Simulation values</v>
      </c>
    </row>
    <row r="601" spans="1:13" ht="15" customHeight="1" x14ac:dyDescent="0.25">
      <c r="A601" s="231" t="s">
        <v>25</v>
      </c>
      <c r="B601" s="68" t="s">
        <v>166</v>
      </c>
      <c r="C601" s="92">
        <v>30</v>
      </c>
      <c r="D601" s="92">
        <v>18</v>
      </c>
      <c r="E601" s="69">
        <v>1.973965956</v>
      </c>
      <c r="F601" s="69">
        <v>0.35411327363234091</v>
      </c>
      <c r="G601" s="69">
        <v>5.5743913120000004</v>
      </c>
      <c r="H601" s="69"/>
      <c r="I601" s="69" t="s">
        <v>191</v>
      </c>
      <c r="J601" s="69" t="s">
        <v>38</v>
      </c>
      <c r="K601" s="232" t="s">
        <v>192</v>
      </c>
      <c r="L601" s="186"/>
      <c r="M601" s="69" t="str">
        <f>CapacityTable[[#This Row],[Model]]&amp;CapacityTable[[#This Row],[Type]]&amp;CapacityTable[[#This Row],[T ext]]&amp;CapacityTable[[#This Row],[T water out]]&amp;CapacityTable[[#This Row],[Results origin]]</f>
        <v>BLW Mono 9.1Min power3018Simulation values</v>
      </c>
    </row>
    <row r="602" spans="1:13" ht="15" customHeight="1" x14ac:dyDescent="0.25">
      <c r="A602" s="231" t="s">
        <v>23</v>
      </c>
      <c r="B602" s="68" t="s">
        <v>166</v>
      </c>
      <c r="C602" s="92">
        <v>25</v>
      </c>
      <c r="D602" s="92">
        <v>7</v>
      </c>
      <c r="E602" s="69">
        <v>1.3318267894993101</v>
      </c>
      <c r="F602" s="69">
        <v>0.34381333417496607</v>
      </c>
      <c r="G602" s="69">
        <v>3.8736914980195198</v>
      </c>
      <c r="H602" s="69"/>
      <c r="I602" s="69" t="s">
        <v>191</v>
      </c>
      <c r="J602" s="69" t="s">
        <v>38</v>
      </c>
      <c r="K602" s="232" t="s">
        <v>192</v>
      </c>
      <c r="L602" s="186"/>
      <c r="M602" s="69" t="str">
        <f>CapacityTable[[#This Row],[Model]]&amp;CapacityTable[[#This Row],[Type]]&amp;CapacityTable[[#This Row],[T ext]]&amp;CapacityTable[[#This Row],[T water out]]&amp;CapacityTable[[#This Row],[Results origin]]</f>
        <v>BLW Mono 6.1Min power257Simulation values</v>
      </c>
    </row>
    <row r="603" spans="1:13" ht="15" customHeight="1" x14ac:dyDescent="0.25">
      <c r="A603" s="231" t="s">
        <v>25</v>
      </c>
      <c r="B603" s="68" t="s">
        <v>166</v>
      </c>
      <c r="C603" s="92">
        <v>25</v>
      </c>
      <c r="D603" s="92">
        <v>7</v>
      </c>
      <c r="E603" s="69">
        <v>1.4126979180000001</v>
      </c>
      <c r="F603" s="69">
        <v>0.33672499598753336</v>
      </c>
      <c r="G603" s="69">
        <v>4.1954055529999996</v>
      </c>
      <c r="H603" s="69"/>
      <c r="I603" s="69" t="s">
        <v>191</v>
      </c>
      <c r="J603" s="69" t="s">
        <v>38</v>
      </c>
      <c r="K603" s="232" t="s">
        <v>192</v>
      </c>
      <c r="L603" s="186"/>
      <c r="M603" s="69" t="str">
        <f>CapacityTable[[#This Row],[Model]]&amp;CapacityTable[[#This Row],[Type]]&amp;CapacityTable[[#This Row],[T ext]]&amp;CapacityTable[[#This Row],[T water out]]&amp;CapacityTable[[#This Row],[Results origin]]</f>
        <v>BLW Mono 9.1Min power257Simulation values</v>
      </c>
    </row>
    <row r="604" spans="1:13" ht="15" customHeight="1" x14ac:dyDescent="0.25">
      <c r="A604" s="231" t="s">
        <v>23</v>
      </c>
      <c r="B604" s="68" t="s">
        <v>166</v>
      </c>
      <c r="C604" s="92">
        <v>25</v>
      </c>
      <c r="D604" s="92">
        <v>18</v>
      </c>
      <c r="E604" s="69">
        <v>1.9473612511248499</v>
      </c>
      <c r="F604" s="69">
        <v>0.32534663373229844</v>
      </c>
      <c r="G604" s="69">
        <v>5.9854968492687002</v>
      </c>
      <c r="H604" s="69"/>
      <c r="I604" s="69" t="s">
        <v>191</v>
      </c>
      <c r="J604" s="69" t="s">
        <v>38</v>
      </c>
      <c r="K604" s="232" t="s">
        <v>192</v>
      </c>
      <c r="L604" s="186"/>
      <c r="M604" s="69" t="str">
        <f>CapacityTable[[#This Row],[Model]]&amp;CapacityTable[[#This Row],[Type]]&amp;CapacityTable[[#This Row],[T ext]]&amp;CapacityTable[[#This Row],[T water out]]&amp;CapacityTable[[#This Row],[Results origin]]</f>
        <v>BLW Mono 6.1Min power2518Simulation values</v>
      </c>
    </row>
    <row r="605" spans="1:13" ht="15" customHeight="1" x14ac:dyDescent="0.25">
      <c r="A605" s="231" t="s">
        <v>25</v>
      </c>
      <c r="B605" s="68" t="s">
        <v>166</v>
      </c>
      <c r="C605" s="92">
        <v>25</v>
      </c>
      <c r="D605" s="92">
        <v>18</v>
      </c>
      <c r="E605" s="69">
        <v>2.0650186779999999</v>
      </c>
      <c r="F605" s="69">
        <v>0.31719889359863868</v>
      </c>
      <c r="G605" s="69">
        <v>6.5101698639999999</v>
      </c>
      <c r="H605" s="69"/>
      <c r="I605" s="69" t="s">
        <v>191</v>
      </c>
      <c r="J605" s="69" t="s">
        <v>38</v>
      </c>
      <c r="K605" s="232" t="s">
        <v>192</v>
      </c>
      <c r="L605" s="186"/>
      <c r="M605" s="69" t="str">
        <f>CapacityTable[[#This Row],[Model]]&amp;CapacityTable[[#This Row],[Type]]&amp;CapacityTable[[#This Row],[T ext]]&amp;CapacityTable[[#This Row],[T water out]]&amp;CapacityTable[[#This Row],[Results origin]]</f>
        <v>BLW Mono 9.1Min power2518Simulation values</v>
      </c>
    </row>
    <row r="606" spans="1:13" ht="15" customHeight="1" x14ac:dyDescent="0.25">
      <c r="A606" s="231" t="s">
        <v>23</v>
      </c>
      <c r="B606" s="68" t="s">
        <v>166</v>
      </c>
      <c r="C606" s="92">
        <v>20</v>
      </c>
      <c r="D606" s="92">
        <v>7</v>
      </c>
      <c r="E606" s="69">
        <v>1.3995820686209699</v>
      </c>
      <c r="F606" s="69">
        <v>0.30971417581422656</v>
      </c>
      <c r="G606" s="69">
        <v>4.5189473970363903</v>
      </c>
      <c r="H606" s="69"/>
      <c r="I606" s="69" t="s">
        <v>191</v>
      </c>
      <c r="J606" s="69" t="s">
        <v>38</v>
      </c>
      <c r="K606" s="232" t="s">
        <v>192</v>
      </c>
      <c r="L606" s="186"/>
      <c r="M606" s="69" t="str">
        <f>CapacityTable[[#This Row],[Model]]&amp;CapacityTable[[#This Row],[Type]]&amp;CapacityTable[[#This Row],[T ext]]&amp;CapacityTable[[#This Row],[T water out]]&amp;CapacityTable[[#This Row],[Results origin]]</f>
        <v>BLW Mono 6.1Min power207Simulation values</v>
      </c>
    </row>
    <row r="607" spans="1:13" ht="15" customHeight="1" x14ac:dyDescent="0.25">
      <c r="A607" s="231" t="s">
        <v>25</v>
      </c>
      <c r="B607" s="68" t="s">
        <v>166</v>
      </c>
      <c r="C607" s="92">
        <v>20</v>
      </c>
      <c r="D607" s="92">
        <v>7</v>
      </c>
      <c r="E607" s="69">
        <v>1.4830863779999999</v>
      </c>
      <c r="F607" s="69">
        <v>0.3020385155012304</v>
      </c>
      <c r="G607" s="69">
        <v>4.9102558180000004</v>
      </c>
      <c r="H607" s="69"/>
      <c r="I607" s="69" t="s">
        <v>191</v>
      </c>
      <c r="J607" s="69" t="s">
        <v>38</v>
      </c>
      <c r="K607" s="232" t="s">
        <v>192</v>
      </c>
      <c r="L607" s="186"/>
      <c r="M607" s="69" t="str">
        <f>CapacityTable[[#This Row],[Model]]&amp;CapacityTable[[#This Row],[Type]]&amp;CapacityTable[[#This Row],[T ext]]&amp;CapacityTable[[#This Row],[T water out]]&amp;CapacityTable[[#This Row],[Results origin]]</f>
        <v>BLW Mono 9.1Min power207Simulation values</v>
      </c>
    </row>
    <row r="608" spans="1:13" ht="15" customHeight="1" x14ac:dyDescent="0.25">
      <c r="A608" s="231" t="s">
        <v>23</v>
      </c>
      <c r="B608" s="68" t="s">
        <v>166</v>
      </c>
      <c r="C608" s="92">
        <v>20</v>
      </c>
      <c r="D608" s="92">
        <v>18</v>
      </c>
      <c r="E608" s="69">
        <v>2.0417185862487099</v>
      </c>
      <c r="F608" s="69">
        <v>0.28856011002262638</v>
      </c>
      <c r="G608" s="69">
        <v>7.0755399493319304</v>
      </c>
      <c r="H608" s="69"/>
      <c r="I608" s="69" t="s">
        <v>191</v>
      </c>
      <c r="J608" s="69" t="s">
        <v>38</v>
      </c>
      <c r="K608" s="232" t="s">
        <v>192</v>
      </c>
      <c r="L608" s="186"/>
      <c r="M608" s="69" t="str">
        <f>CapacityTable[[#This Row],[Model]]&amp;CapacityTable[[#This Row],[Type]]&amp;CapacityTable[[#This Row],[T ext]]&amp;CapacityTable[[#This Row],[T water out]]&amp;CapacityTable[[#This Row],[Results origin]]</f>
        <v>BLW Mono 6.1Min power2018Simulation values</v>
      </c>
    </row>
    <row r="609" spans="1:13" ht="15" customHeight="1" x14ac:dyDescent="0.25">
      <c r="A609" s="233" t="s">
        <v>25</v>
      </c>
      <c r="B609" s="68" t="s">
        <v>166</v>
      </c>
      <c r="C609" s="92">
        <v>20</v>
      </c>
      <c r="D609" s="92">
        <v>18</v>
      </c>
      <c r="E609" s="69">
        <v>2.1655445009999998</v>
      </c>
      <c r="F609" s="69">
        <v>0.27980813470722693</v>
      </c>
      <c r="G609" s="69">
        <v>7.7393907909999999</v>
      </c>
      <c r="H609" s="69"/>
      <c r="I609" s="69" t="s">
        <v>191</v>
      </c>
      <c r="J609" s="69" t="s">
        <v>38</v>
      </c>
      <c r="K609" s="234" t="s">
        <v>192</v>
      </c>
      <c r="L609" s="186"/>
      <c r="M609" s="69" t="str">
        <f>CapacityTable[[#This Row],[Model]]&amp;CapacityTable[[#This Row],[Type]]&amp;CapacityTable[[#This Row],[T ext]]&amp;CapacityTable[[#This Row],[T water out]]&amp;CapacityTable[[#This Row],[Results origin]]</f>
        <v>BLW Mono 9.1Min power2018Simulation values</v>
      </c>
    </row>
  </sheetData>
  <phoneticPr fontId="7" type="noConversion"/>
  <conditionalFormatting sqref="M1:M1048576">
    <cfRule type="duplicateValues" dxfId="30" priority="1"/>
  </conditionalFormatting>
  <hyperlinks>
    <hyperlink ref="K202" r:id="rId1" xr:uid="{1150572E-70FB-48EA-B29A-20AC0895DE1D}"/>
    <hyperlink ref="K206" r:id="rId2" xr:uid="{A8AE2B4E-A979-4B61-B7B9-A31EA8B3E104}"/>
    <hyperlink ref="K548" r:id="rId3" xr:uid="{C70F6B72-44B8-4449-90DB-3441FFADFF4D}"/>
    <hyperlink ref="K549" r:id="rId4" xr:uid="{94F9D909-ACD8-48D4-B07A-B4F4B99709E2}"/>
    <hyperlink ref="K546" r:id="rId5" xr:uid="{AE6756BC-67D5-48F4-B5BF-D202C9C75A42}"/>
    <hyperlink ref="K547" r:id="rId6" xr:uid="{BDBCF04E-A49E-4073-9F67-430BEF3E41EE}"/>
    <hyperlink ref="K54:K59" r:id="rId7" display="SREQ23-0063" xr:uid="{D04A55CA-473D-42E8-8D73-CA377C0955D0}"/>
    <hyperlink ref="K380" r:id="rId8" xr:uid="{2CDFCD4E-C4A3-495A-BDD9-41BA452125C3}"/>
    <hyperlink ref="K381" r:id="rId9" xr:uid="{3AC2003E-34C5-46EF-832F-A69045C7B4E6}"/>
    <hyperlink ref="K395" r:id="rId10" xr:uid="{492042BC-A056-490C-88BF-9474FE42FD02}"/>
    <hyperlink ref="K246" r:id="rId11" xr:uid="{080A6D0E-6886-40A1-96F3-90C356D71C3F}"/>
    <hyperlink ref="K382" r:id="rId12" xr:uid="{E2C2F4F8-FF45-4DEF-8B44-41DBCCD97549}"/>
    <hyperlink ref="K401" r:id="rId13" xr:uid="{689737A0-4B05-418B-B1D4-2F26628400D3}"/>
    <hyperlink ref="K233" r:id="rId14" xr:uid="{E3F62403-AFAE-4ECA-8A3E-016CC884FBA6}"/>
    <hyperlink ref="K223" r:id="rId15" xr:uid="{3186DBF1-B6C1-40D9-89EB-1B3FB54EA769}"/>
    <hyperlink ref="K398" r:id="rId16" xr:uid="{437BD75A-8BE5-43A5-9787-A6FC70010E74}"/>
    <hyperlink ref="K383" r:id="rId17" xr:uid="{80E6B05A-6CC2-497A-BF05-38994E05FBD6}"/>
    <hyperlink ref="K560" r:id="rId18" xr:uid="{E99CF5E4-6481-45FA-A043-C4B4F5D7F092}"/>
    <hyperlink ref="K561" r:id="rId19" xr:uid="{B521C79E-0EB5-4A1C-9EE2-A35072654F59}"/>
    <hyperlink ref="K2" r:id="rId20" xr:uid="{CB0084D0-83FD-4795-877E-D9C3623593BD}"/>
    <hyperlink ref="K3" r:id="rId21" xr:uid="{555457A5-F842-46E7-A9B4-306F0993E9DC}"/>
    <hyperlink ref="K4" r:id="rId22" xr:uid="{C5E67DBC-F686-40B1-BE1E-5239AB76300C}"/>
    <hyperlink ref="K5" r:id="rId23" xr:uid="{353DC511-1E51-47E5-9171-2A3E396167C6}"/>
    <hyperlink ref="K8" r:id="rId24" xr:uid="{A5709F71-C040-4321-BD5F-05D76D436FA4}"/>
    <hyperlink ref="K11" r:id="rId25" xr:uid="{D8006728-B841-4E15-A6F8-322523F199EF}"/>
    <hyperlink ref="K14" r:id="rId26" xr:uid="{A27B4132-70FD-45E2-A5B6-810B4A6DCA16}"/>
    <hyperlink ref="K17" r:id="rId27" xr:uid="{57DA9C71-4EFE-4402-A087-6A8C1942899A}"/>
    <hyperlink ref="K20" r:id="rId28" xr:uid="{F1D5A711-3427-4B6F-8DD1-9B085881519A}"/>
    <hyperlink ref="K23:K30" r:id="rId29" display="SREQ24-0019" xr:uid="{ABA8DE0E-0659-4A64-9863-474F252FD046}"/>
    <hyperlink ref="K35:K36" r:id="rId30" display="SREQ24-0019" xr:uid="{1FBD658B-82A1-4C57-9AEF-71C2ACD24480}"/>
    <hyperlink ref="K47:K48" r:id="rId31" display="SREQ24-0019" xr:uid="{E0AD3639-A97F-4677-A814-ACCBE94B253A}"/>
    <hyperlink ref="K73" r:id="rId32" xr:uid="{A9E863E9-48C1-431C-A448-0EF12100C48E}"/>
    <hyperlink ref="K75" r:id="rId33" xr:uid="{38209601-1015-4A5B-B452-1D937FDE8AB4}"/>
    <hyperlink ref="K102" r:id="rId34" xr:uid="{5A1B633C-7A34-4576-BEC3-593560D71C3F}"/>
    <hyperlink ref="K104" r:id="rId35" xr:uid="{F78F28F4-E544-4F9A-92A3-8E53A65F0A5D}"/>
    <hyperlink ref="K128" r:id="rId36" xr:uid="{20079134-463C-4099-AC91-DF6C3E3DAA62}"/>
    <hyperlink ref="K153" r:id="rId37" xr:uid="{F5937252-758D-4D0B-AE80-02FA03A897F1}"/>
    <hyperlink ref="K243" r:id="rId38" xr:uid="{AA96C8DC-37F7-4FF0-81A9-56C87B5E91F8}"/>
    <hyperlink ref="K264:K266" r:id="rId39" display="SREQ24-0019" xr:uid="{5FAB95D8-454A-4054-830C-5B5E63E9BAD7}"/>
    <hyperlink ref="K270:K321" r:id="rId40" display="SREQ24-0019" xr:uid="{1933E13B-1901-4CCE-A34F-629210E96512}"/>
    <hyperlink ref="K396:K397" r:id="rId41" display="SREQ24-0019" xr:uid="{391E71DB-3E8F-4731-8601-CAC5F767A9DF}"/>
    <hyperlink ref="K444:K445" r:id="rId42" display="SREQ24-0019" xr:uid="{79544595-344D-4D6C-9F0C-F1E33F190764}"/>
    <hyperlink ref="K245" r:id="rId43" xr:uid="{D54E3B44-D051-438E-8A57-222114CF2FC7}"/>
    <hyperlink ref="K540" r:id="rId44" xr:uid="{2101D87A-035A-430F-BB90-751B981671E4}"/>
    <hyperlink ref="K460" r:id="rId45" xr:uid="{4E46C494-2281-444B-9610-A9EB1EDC337F}"/>
    <hyperlink ref="K544" r:id="rId46" xr:uid="{D9BB0C8F-9567-4847-B8F9-F7D7C0C6D68D}"/>
    <hyperlink ref="K542" r:id="rId47" xr:uid="{B5A1329F-E02F-4A5B-A5E3-062E29BD2D74}"/>
    <hyperlink ref="K552" r:id="rId48" xr:uid="{137342D2-6C05-4911-828A-AEFF444259CC}"/>
    <hyperlink ref="K550" r:id="rId49" xr:uid="{A6B65DEF-E033-4028-8895-F4534D316246}"/>
    <hyperlink ref="K556" r:id="rId50" xr:uid="{CF77176F-02F5-4C88-9C20-5F7F142E7EA1}"/>
    <hyperlink ref="K554" r:id="rId51" xr:uid="{40BE5B02-CFA5-4564-A4DC-744C408D8125}"/>
    <hyperlink ref="K558" r:id="rId52" xr:uid="{5627DB86-A1AB-4758-9B7D-6632835670CF}"/>
    <hyperlink ref="K541" r:id="rId53" xr:uid="{9554DCA5-A432-4BBE-A9CA-1C77C33239E5}"/>
    <hyperlink ref="K461" r:id="rId54" xr:uid="{29EEEEA3-A437-45FA-B00E-9AC98FA7AD82}"/>
    <hyperlink ref="K545" r:id="rId55" xr:uid="{50AD4508-3943-4D2D-9DC9-43E4F9DB3401}"/>
    <hyperlink ref="K543" r:id="rId56" xr:uid="{94DEA2BE-6FAA-4B7A-A820-25AB47407F8E}"/>
    <hyperlink ref="K553" r:id="rId57" xr:uid="{1021E047-DA0C-4D76-B23F-C5B50755CED3}"/>
    <hyperlink ref="K551" r:id="rId58" xr:uid="{00BE2495-A0A9-4F27-B3BA-329E67EC4270}"/>
    <hyperlink ref="K557" r:id="rId59" xr:uid="{827B14D1-0AA8-4759-9FC0-409FDCADF113}"/>
    <hyperlink ref="K555" r:id="rId60" xr:uid="{EEBF46DC-F2C9-4CB8-A825-259172822DCA}"/>
    <hyperlink ref="K559" r:id="rId61" xr:uid="{4439F51D-E69E-4CFB-B5B5-0A28CC595573}"/>
    <hyperlink ref="K562" r:id="rId62" xr:uid="{8AD3A3AF-7817-4E76-903B-8A3BACE4744F}"/>
    <hyperlink ref="K563" r:id="rId63" xr:uid="{C85CC14A-104B-4DEB-A39F-5D47FCA90BE2}"/>
    <hyperlink ref="K578" r:id="rId64" xr:uid="{ED57C24E-122B-4634-81A2-CEE2184727C7}"/>
    <hyperlink ref="K573" r:id="rId65" xr:uid="{FA84D55E-024B-46FC-BF70-AF75DC88BBE4}"/>
    <hyperlink ref="K566" r:id="rId66" xr:uid="{6EB4AD7B-A4BD-414E-AA4C-73E649B8598F}"/>
    <hyperlink ref="K571" r:id="rId67" xr:uid="{30240EA5-CE8D-41BB-8CF1-6C680FD00551}"/>
    <hyperlink ref="K584" r:id="rId68" xr:uid="{37808869-D591-4AEB-A48A-96927E40C346}"/>
    <hyperlink ref="K585" r:id="rId69" xr:uid="{5EC27FE0-0513-4786-8C6D-30FB52E14FAA}"/>
    <hyperlink ref="K574" r:id="rId70" xr:uid="{0798CC7A-BC8D-42E0-890F-28EC60C58317}"/>
    <hyperlink ref="K576" r:id="rId71" xr:uid="{046127EB-CC05-45D9-B050-EE9A3D067169}"/>
    <hyperlink ref="K564" r:id="rId72" xr:uid="{1F2B7853-DAB9-49BE-A232-087A927A498C}"/>
    <hyperlink ref="K580" r:id="rId73" xr:uid="{FA12C5F3-46A8-4C39-87E6-5A121CE33362}"/>
    <hyperlink ref="K568" r:id="rId74" xr:uid="{48C89F25-38D3-4F2B-A47D-67CA2A98F5B5}"/>
    <hyperlink ref="K582" r:id="rId75" xr:uid="{A8B76394-2FE6-4DDE-8195-1C0E7611D54C}"/>
    <hyperlink ref="K570" r:id="rId76" xr:uid="{F4A9A6A6-FF68-4871-9437-4605E8AF884C}"/>
    <hyperlink ref="K572" r:id="rId77" xr:uid="{0B68B865-3574-483E-AEAF-ACA551CA5C84}"/>
    <hyperlink ref="K565" r:id="rId78" xr:uid="{08D49C29-A585-4F78-A713-D26850830296}"/>
    <hyperlink ref="K569" r:id="rId79" xr:uid="{F9127573-0118-49DF-875C-849FBF8C4A7B}"/>
    <hyperlink ref="K567" r:id="rId80" xr:uid="{F8F49B78-6257-4A93-9633-99933FE5A442}"/>
    <hyperlink ref="K577" r:id="rId81" xr:uid="{56FF9C91-7DC0-4733-9068-5F9D48D84AC5}"/>
    <hyperlink ref="K575" r:id="rId82" xr:uid="{5D170231-5C59-4F42-99D1-35EBF6AE2DCE}"/>
    <hyperlink ref="K581" r:id="rId83" xr:uid="{D97056DC-9B98-4C86-9020-CC74E36F87D8}"/>
    <hyperlink ref="K579" r:id="rId84" xr:uid="{4AA93182-93E9-4910-AD82-4C8CD2715A66}"/>
    <hyperlink ref="K583" r:id="rId85" xr:uid="{DD2C47E4-0DC5-4E25-8BDB-AA89A1D6F7E7}"/>
    <hyperlink ref="K586" r:id="rId86" xr:uid="{FABDC5CE-38B2-48A8-9A1E-F29049EDB953}"/>
    <hyperlink ref="K587" r:id="rId87" xr:uid="{3A1E8DC0-D376-4442-9713-B6707C26B06F}"/>
    <hyperlink ref="K596" r:id="rId88" xr:uid="{3A18D2B5-6950-470B-A945-6C326B649BB4}"/>
    <hyperlink ref="K597" r:id="rId89" xr:uid="{20EB8AF3-8946-45DE-9A7B-4F19EDC69078}"/>
    <hyperlink ref="K594" r:id="rId90" xr:uid="{5B31D234-67E9-4189-8DBD-742963E912B4}"/>
    <hyperlink ref="K595" r:id="rId91" xr:uid="{CDD0BF7D-1445-472A-8B17-FC1830C9A701}"/>
    <hyperlink ref="K608" r:id="rId92" xr:uid="{467E568B-5648-4F06-8114-EC5D61097A01}"/>
    <hyperlink ref="K609" r:id="rId93" xr:uid="{31FADACF-EE56-4606-9115-C4F10E547413}"/>
    <hyperlink ref="K588" r:id="rId94" xr:uid="{CDB364D4-DBA1-4283-B303-8B56F6C9CB71}"/>
    <hyperlink ref="K592" r:id="rId95" xr:uid="{992235C3-7385-4807-8B5C-A90D1574A4F0}"/>
    <hyperlink ref="K590" r:id="rId96" xr:uid="{3026B00C-7AFA-4E51-BBA1-7964052F9A83}"/>
    <hyperlink ref="K600" r:id="rId97" xr:uid="{A2AE77B1-45ED-45A5-AE53-249F18DF4E0D}"/>
    <hyperlink ref="K598" r:id="rId98" xr:uid="{6CBC0C45-0BD6-4494-AA23-943306BDBD84}"/>
    <hyperlink ref="K604" r:id="rId99" xr:uid="{D245FF0C-3374-448B-80E9-36F1F2A113AB}"/>
    <hyperlink ref="K602" r:id="rId100" xr:uid="{3886F237-4562-4800-9AF9-18DE12A58FE2}"/>
    <hyperlink ref="K606" r:id="rId101" xr:uid="{3F261A3B-33A5-489D-89BD-71BD6EF5F117}"/>
    <hyperlink ref="K589" r:id="rId102" xr:uid="{5CE85A3B-ACF4-4726-9DD9-1D4F7809D811}"/>
    <hyperlink ref="K593" r:id="rId103" xr:uid="{418BD834-EF4D-49D6-BE2E-332C3F58E411}"/>
    <hyperlink ref="K591" r:id="rId104" xr:uid="{7B11D111-E4A7-43F5-9A39-89D6370F2116}"/>
    <hyperlink ref="K601" r:id="rId105" xr:uid="{7678F98E-E246-4C62-97B8-C14045C45379}"/>
    <hyperlink ref="K599" r:id="rId106" xr:uid="{D31D89B2-5FDC-409F-AFDA-DCB36AC0C2E6}"/>
    <hyperlink ref="K605" r:id="rId107" xr:uid="{933FFF62-1146-4CFC-AD27-AA16B8E6E32E}"/>
    <hyperlink ref="K603" r:id="rId108" xr:uid="{F399CAD5-D020-46C1-9ED0-85F2D775BDED}"/>
    <hyperlink ref="K607" r:id="rId109" xr:uid="{BEB93011-1950-45FD-B087-CE16A51D599E}"/>
  </hyperlinks>
  <pageMargins left="0.7" right="0.7" top="0.75" bottom="0.75" header="0.3" footer="0.3"/>
  <pageSetup paperSize="9" orientation="portrait" r:id="rId110"/>
  <tableParts count="1">
    <tablePart r:id="rId11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B97F-B01E-4C98-8434-0783469AF453}">
  <dimension ref="A2:K81"/>
  <sheetViews>
    <sheetView zoomScaleNormal="100" workbookViewId="0">
      <selection activeCell="B2" sqref="B2"/>
    </sheetView>
  </sheetViews>
  <sheetFormatPr defaultColWidth="9.140625" defaultRowHeight="15" x14ac:dyDescent="0.25"/>
  <cols>
    <col min="1" max="1" width="3.42578125" style="1" customWidth="1"/>
    <col min="2" max="2" width="10.85546875" style="1" customWidth="1"/>
    <col min="3" max="3" width="11.5703125" style="1" customWidth="1"/>
    <col min="4" max="4" width="12.42578125" style="1" customWidth="1"/>
    <col min="5" max="10" width="9.5703125" style="1" customWidth="1"/>
    <col min="11" max="16384" width="9.140625" style="1"/>
  </cols>
  <sheetData>
    <row r="2" spans="1:11" x14ac:dyDescent="0.25">
      <c r="B2" s="30" t="s">
        <v>153</v>
      </c>
    </row>
    <row r="3" spans="1:11" x14ac:dyDescent="0.25">
      <c r="B3" s="1" t="s">
        <v>154</v>
      </c>
      <c r="C3" s="1" t="s">
        <v>155</v>
      </c>
    </row>
    <row r="4" spans="1:11" x14ac:dyDescent="0.25">
      <c r="B4" s="1" t="s">
        <v>156</v>
      </c>
      <c r="C4" s="1" t="s">
        <v>157</v>
      </c>
    </row>
    <row r="5" spans="1:11" x14ac:dyDescent="0.25">
      <c r="B5" s="1" t="s">
        <v>158</v>
      </c>
      <c r="C5" s="1" t="s">
        <v>159</v>
      </c>
    </row>
    <row r="7" spans="1:11" x14ac:dyDescent="0.25">
      <c r="B7" s="25"/>
      <c r="C7" s="25"/>
      <c r="D7" s="25"/>
      <c r="E7" s="25"/>
      <c r="F7" s="25"/>
      <c r="G7" s="25"/>
      <c r="H7" s="25"/>
      <c r="I7" s="25"/>
      <c r="J7" s="25"/>
    </row>
    <row r="8" spans="1:11" ht="15.75" thickBot="1" x14ac:dyDescent="0.3">
      <c r="A8" s="31"/>
      <c r="B8" s="284" t="s">
        <v>160</v>
      </c>
      <c r="C8" s="285"/>
      <c r="D8" s="286"/>
      <c r="E8" s="284">
        <v>7</v>
      </c>
      <c r="F8" s="274"/>
      <c r="G8" s="275"/>
      <c r="H8" s="273">
        <v>18</v>
      </c>
      <c r="I8" s="274"/>
      <c r="J8" s="275"/>
      <c r="K8" s="23"/>
    </row>
    <row r="9" spans="1:11" s="15" customFormat="1" ht="45.75" thickBot="1" x14ac:dyDescent="0.3">
      <c r="A9" s="32"/>
      <c r="B9" s="52" t="s">
        <v>7</v>
      </c>
      <c r="C9" s="290" t="s">
        <v>161</v>
      </c>
      <c r="D9" s="291"/>
      <c r="E9" s="47" t="s">
        <v>162</v>
      </c>
      <c r="F9" s="62" t="s">
        <v>163</v>
      </c>
      <c r="G9" s="46" t="s">
        <v>164</v>
      </c>
      <c r="H9" s="47" t="s">
        <v>162</v>
      </c>
      <c r="I9" s="62" t="s">
        <v>163</v>
      </c>
      <c r="J9" s="46" t="s">
        <v>164</v>
      </c>
      <c r="K9" s="24"/>
    </row>
    <row r="10" spans="1:11" x14ac:dyDescent="0.25">
      <c r="A10" s="31"/>
      <c r="B10" s="276" t="s">
        <v>23</v>
      </c>
      <c r="C10" s="292" t="s">
        <v>165</v>
      </c>
      <c r="D10" s="122">
        <v>45</v>
      </c>
      <c r="E10" s="185" cm="1">
        <f t="array" ref="E10">INDEX(_xlfn._xlws.FILTER(CapacityTable[], (CapacityTable[Model] = $B$10) * (CapacityTable[T ext] = $D10) * (CapacityTable[T water out] = $E$8) * (CapacityTable[Type] = $C$10) * (CapacityTable[Results origin] = "Simulation values") * (CapacityTable[Mode] = "Cooling"),Tableau2[]),1,5)</f>
        <v>5.6572933753195001</v>
      </c>
      <c r="F10" s="185" cm="1">
        <f t="array" ref="F10">INDEX(_xlfn._xlws.FILTER(CapacityTable[], (CapacityTable[Model] = $B$10) * (CapacityTable[T ext] = $D10) * (CapacityTable[T water out] = $E$8) * (CapacityTable[Type] = $C$10) * (CapacityTable[Results origin] = "Simulation values") * (CapacityTable[Mode] = "Cooling"),Tableau2[]),1,6)</f>
        <v>2.6329292793389518</v>
      </c>
      <c r="G10" s="183" cm="1">
        <f t="array" ref="G10">INDEX(_xlfn._xlws.FILTER(CapacityTable[], (CapacityTable[Model] = $B$10) * (CapacityTable[T ext] = $D10) * (CapacityTable[T water out] = $E$8) * (CapacityTable[Type] = $C$10) * (CapacityTable[Results origin] = "Simulation values") * (CapacityTable[Mode] = "Cooling"),Tableau2[]),1,7)</f>
        <v>2.1486689444009199</v>
      </c>
      <c r="H10" s="83" cm="1">
        <f t="array" ref="H10">INDEX(_xlfn._xlws.FILTER(CapacityTable[], (CapacityTable[Model] = $B$10) * (CapacityTable[T ext] = $D10) * (CapacityTable[T water out] = $H$8) * (CapacityTable[Type] = $C$10) * (CapacityTable[Results origin] = "Simulation values") * (CapacityTable[Mode] = "Cooling"),Tableau2[]),1,5)</f>
        <v>5.8023448470030896</v>
      </c>
      <c r="I10" s="111" cm="1">
        <f t="array" ref="I10">INDEX(_xlfn._xlws.FILTER(CapacityTable[], (CapacityTable[Model] = $B$10) * (CapacityTable[T ext] = $D10) * (CapacityTable[T water out] = $H$8) * (CapacityTable[Type] = $C$10) * (CapacityTable[Results origin] = "Simulation values") * (CapacityTable[Mode] = "Cooling"),Tableau2[]),1,6)</f>
        <v>1.7699928862680179</v>
      </c>
      <c r="J10" s="107" cm="1">
        <f t="array" ref="J10">INDEX(_xlfn._xlws.FILTER(CapacityTable[], (CapacityTable[Model] = $B$10) * (CapacityTable[T ext] = $D10) * (CapacityTable[T water out] = $H$8) * (CapacityTable[Type] = $C$10) * (CapacityTable[Results origin] = "Simulation values") * (CapacityTable[Mode] = "Cooling"),Tableau2[]),1,7)</f>
        <v>3.2781741056808298</v>
      </c>
      <c r="K10" s="23"/>
    </row>
    <row r="11" spans="1:11" x14ac:dyDescent="0.25">
      <c r="A11" s="31"/>
      <c r="B11" s="276"/>
      <c r="C11" s="293"/>
      <c r="D11" s="112">
        <v>40</v>
      </c>
      <c r="E11" s="93" cm="1">
        <f t="array" ref="E11">INDEX(_xlfn._xlws.FILTER(CapacityTable[], (CapacityTable[Model] = $B$10) * (CapacityTable[T ext] = $D11) * (CapacityTable[T water out] = $E$8) * (CapacityTable[Type] = $C$10) * (CapacityTable[Results origin] = "Simulation values") * (CapacityTable[Mode] = "Cooling"),Tableau2[]),1,5)</f>
        <v>5.8589590821649997</v>
      </c>
      <c r="F11" s="104" cm="1">
        <f t="array" ref="F11">INDEX(_xlfn._xlws.FILTER(CapacityTable[], (CapacityTable[Model] = $B$10) * (CapacityTable[T ext] = $D11) * (CapacityTable[T water out] = $E$8) * (CapacityTable[Type] = $C$10) * (CapacityTable[Results origin] = "Simulation values") * (CapacityTable[Mode] = "Cooling"),Tableau2[]),1,6)</f>
        <v>2.4916255692443259</v>
      </c>
      <c r="G11" s="108" cm="1">
        <f t="array" ref="G11">INDEX(_xlfn._xlws.FILTER(CapacityTable[], (CapacityTable[Model] = $B$10) * (CapacityTable[T ext] = $D11) * (CapacityTable[T water out] = $E$8) * (CapacityTable[Type] = $C$10) * (CapacityTable[Results origin] = "Simulation values") * (CapacityTable[Mode] = "Cooling"),Tableau2[]),1,7)</f>
        <v>2.3514604900855698</v>
      </c>
      <c r="H11" s="180" cm="1">
        <f t="array" ref="H11">INDEX(_xlfn._xlws.FILTER(CapacityTable[], (CapacityTable[Model] = $B$10) * (CapacityTable[T ext] = $D11) * (CapacityTable[T water out] = $H$8) * (CapacityTable[Type] = $C$10) * (CapacityTable[Results origin] = "Simulation values") * (CapacityTable[Mode] = "Cooling"),Tableau2[]),1,5)</f>
        <v>5.9696686408604602</v>
      </c>
      <c r="I11" s="104" cm="1">
        <f t="array" ref="I11">INDEX(_xlfn._xlws.FILTER(CapacityTable[], (CapacityTable[Model] = $B$10) * (CapacityTable[T ext] = $D11) * (CapacityTable[T water out] = $H$8) * (CapacityTable[Type] = $C$10) * (CapacityTable[Results origin] = "Simulation values") * (CapacityTable[Mode] = "Cooling"),Tableau2[]),1,6)</f>
        <v>1.6466956776258439</v>
      </c>
      <c r="J11" s="181" cm="1">
        <f t="array" ref="J11">INDEX(_xlfn._xlws.FILTER(CapacityTable[], (CapacityTable[Model] = $B$10) * (CapacityTable[T ext] = $D11) * (CapacityTable[T water out] = $H$8) * (CapacityTable[Type] = $C$10) * (CapacityTable[Results origin] = "Simulation values") * (CapacityTable[Mode] = "Cooling"),Tableau2[]),1,7)</f>
        <v>3.62524097316351</v>
      </c>
      <c r="K11" s="23"/>
    </row>
    <row r="12" spans="1:11" x14ac:dyDescent="0.25">
      <c r="A12" s="31"/>
      <c r="B12" s="277"/>
      <c r="C12" s="294"/>
      <c r="D12" s="113">
        <v>35</v>
      </c>
      <c r="E12" s="75" cm="1">
        <f t="array" ref="E12">INDEX(_xlfn._xlws.FILTER(CapacityTable[], (CapacityTable[Model] = $B$10) * (CapacityTable[T ext] = $D12) * (CapacityTable[T water out] = $E$8) * (CapacityTable[Type] = $C$10) * (CapacityTable[Results origin] = "Simulation values") * (CapacityTable[Mode] = "Cooling"),Tableau2[]),1,5)</f>
        <v>6.0863733750826796</v>
      </c>
      <c r="F12" s="77" cm="1">
        <f t="array" ref="F12">INDEX(_xlfn._xlws.FILTER(CapacityTable[], (CapacityTable[Model] = $B$10) * (CapacityTable[T ext] = $D12) * (CapacityTable[T water out] = $E$8) * (CapacityTable[Type] = $C$10) * (CapacityTable[Results origin] = "Simulation values") * (CapacityTable[Mode] = "Cooling"),Tableau2[]),1,6)</f>
        <v>2.2874690514648441</v>
      </c>
      <c r="G12" s="109" cm="1">
        <f t="array" ref="G12">INDEX(_xlfn._xlws.FILTER(CapacityTable[], (CapacityTable[Model] = $B$10) * (CapacityTable[T ext] = $D12) * (CapacityTable[T water out] = $E$8) * (CapacityTable[Type] = $C$10) * (CapacityTable[Results origin] = "Simulation values") * (CapacityTable[Mode] = "Cooling"),Tableau2[]),1,7)</f>
        <v>2.6607456704977501</v>
      </c>
      <c r="H12" s="86" cm="1">
        <f t="array" ref="H12">INDEX(_xlfn._xlws.FILTER(CapacityTable[], (CapacityTable[Model] = $B$10) * (CapacityTable[T ext] = $D12) * (CapacityTable[T water out] = $H$8) * (CapacityTable[Type] = $C$10) * (CapacityTable[Results origin] = "Simulation values") * (CapacityTable[Mode] = "Cooling"),Tableau2[]),1,5)</f>
        <v>5.7899427972376696</v>
      </c>
      <c r="I12" s="77" cm="1">
        <f t="array" ref="I12">INDEX(_xlfn._xlws.FILTER(CapacityTable[], (CapacityTable[Model] = $B$10) * (CapacityTable[T ext] = $D12) * (CapacityTable[T water out] = $H$8) * (CapacityTable[Type] = $C$10) * (CapacityTable[Results origin] = "Simulation values") * (CapacityTable[Mode] = "Cooling"),Tableau2[]),1,6)</f>
        <v>1.377244335693198</v>
      </c>
      <c r="J12" s="87" cm="1">
        <f t="array" ref="J12">INDEX(_xlfn._xlws.FILTER(CapacityTable[], (CapacityTable[Model] = $B$10) * (CapacityTable[T ext] = $D12) * (CapacityTable[T water out] = $H$8) * (CapacityTable[Type] = $C$10) * (CapacityTable[Results origin] = "Simulation values") * (CapacityTable[Mode] = "Cooling"),Tableau2[]),1,7)</f>
        <v>4.2040055255144404</v>
      </c>
      <c r="K12" s="23"/>
    </row>
    <row r="13" spans="1:11" x14ac:dyDescent="0.25">
      <c r="A13" s="31"/>
      <c r="B13" s="277"/>
      <c r="C13" s="294"/>
      <c r="D13" s="113">
        <v>30</v>
      </c>
      <c r="E13" s="75" cm="1">
        <f t="array" ref="E13">INDEX(_xlfn._xlws.FILTER(CapacityTable[], (CapacityTable[Model] = $B$10) * (CapacityTable[T ext] = $D13) * (CapacityTable[T water out] = $E$8) * (CapacityTable[Type] = $C$10) * (CapacityTable[Results origin] = "Simulation values") * (CapacityTable[Mode] = "Cooling"),Tableau2[]),1,5)</f>
        <v>6.0709585773035997</v>
      </c>
      <c r="F13" s="77" cm="1">
        <f t="array" ref="F13">INDEX(_xlfn._xlws.FILTER(CapacityTable[], (CapacityTable[Model] = $B$10) * (CapacityTable[T ext] = $D13) * (CapacityTable[T water out] = $E$8) * (CapacityTable[Type] = $C$10) * (CapacityTable[Results origin] = "Simulation values") * (CapacityTable[Mode] = "Cooling"),Tableau2[]),1,6)</f>
        <v>1.9846826171906704</v>
      </c>
      <c r="G13" s="109" cm="1">
        <f t="array" ref="G13">INDEX(_xlfn._xlws.FILTER(CapacityTable[], (CapacityTable[Model] = $B$10) * (CapacityTable[T ext] = $D13) * (CapacityTable[T water out] = $E$8) * (CapacityTable[Type] = $C$10) * (CapacityTable[Results origin] = "Simulation values") * (CapacityTable[Mode] = "Cooling"),Tableau2[]),1,7)</f>
        <v>3.0589065096448902</v>
      </c>
      <c r="H13" s="86" cm="1">
        <f t="array" ref="H13">INDEX(_xlfn._xlws.FILTER(CapacityTable[], (CapacityTable[Model] = $B$10) * (CapacityTable[T ext] = $D13) * (CapacityTable[T water out] = $H$8) * (CapacityTable[Type] = $C$10) * (CapacityTable[Results origin] = "Simulation values") * (CapacityTable[Mode] = "Cooling"),Tableau2[]),1,5)</f>
        <v>6.06435616644848</v>
      </c>
      <c r="I13" s="77" cm="1">
        <f t="array" ref="I13">INDEX(_xlfn._xlws.FILTER(CapacityTable[], (CapacityTable[Model] = $B$10) * (CapacityTable[T ext] = $D13) * (CapacityTable[T water out] = $H$8) * (CapacityTable[Type] = $C$10) * (CapacityTable[Results origin] = "Simulation values") * (CapacityTable[Mode] = "Cooling"),Tableau2[]),1,6)</f>
        <v>1.2697740607383043</v>
      </c>
      <c r="J13" s="87" cm="1">
        <f t="array" ref="J13">INDEX(_xlfn._xlws.FILTER(CapacityTable[], (CapacityTable[Model] = $B$10) * (CapacityTable[T ext] = $D13) * (CapacityTable[T water out] = $H$8) * (CapacityTable[Type] = $C$10) * (CapacityTable[Results origin] = "Simulation values") * (CapacityTable[Mode] = "Cooling"),Tableau2[]),1,7)</f>
        <v>4.7759332577028601</v>
      </c>
      <c r="K13" s="23"/>
    </row>
    <row r="14" spans="1:11" x14ac:dyDescent="0.25">
      <c r="A14" s="31"/>
      <c r="B14" s="277"/>
      <c r="C14" s="294"/>
      <c r="D14" s="113">
        <v>25</v>
      </c>
      <c r="E14" s="75" cm="1">
        <f t="array" ref="E14">INDEX(_xlfn._xlws.FILTER(CapacityTable[], (CapacityTable[Model] = $B$10) * (CapacityTable[T ext] = $D14) * (CapacityTable[T water out] = $E$8) * (CapacityTable[Type] = $C$10) * (CapacityTable[Results origin] = "Simulation values") * (CapacityTable[Mode] = "Cooling"),Tableau2[]),1,5)</f>
        <v>5.8685386172129999</v>
      </c>
      <c r="F14" s="77" cm="1">
        <f t="array" ref="F14">INDEX(_xlfn._xlws.FILTER(CapacityTable[], (CapacityTable[Model] = $B$10) * (CapacityTable[T ext] = $D14) * (CapacityTable[T water out] = $E$8) * (CapacityTable[Type] = $C$10) * (CapacityTable[Results origin] = "Simulation values") * (CapacityTable[Mode] = "Cooling"),Tableau2[]),1,6)</f>
        <v>1.6460295899307067</v>
      </c>
      <c r="G14" s="109" cm="1">
        <f t="array" ref="G14">INDEX(_xlfn._xlws.FILTER(CapacityTable[], (CapacityTable[Model] = $B$10) * (CapacityTable[T ext] = $D14) * (CapacityTable[T water out] = $E$8) * (CapacityTable[Type] = $C$10) * (CapacityTable[Results origin] = "Simulation values") * (CapacityTable[Mode] = "Cooling"),Tableau2[]),1,7)</f>
        <v>3.56526921090164</v>
      </c>
      <c r="H14" s="86" cm="1">
        <f t="array" ref="H14">INDEX(_xlfn._xlws.FILTER(CapacityTable[], (CapacityTable[Model] = $B$10) * (CapacityTable[T ext] = $D14) * (CapacityTable[T water out] = $H$8) * (CapacityTable[Type] = $C$10) * (CapacityTable[Results origin] = "Simulation values") * (CapacityTable[Mode] = "Cooling"),Tableau2[]),1,5)</f>
        <v>5.80178024595374</v>
      </c>
      <c r="I14" s="77" cm="1">
        <f t="array" ref="I14">INDEX(_xlfn._xlws.FILTER(CapacityTable[], (CapacityTable[Model] = $B$10) * (CapacityTable[T ext] = $D14) * (CapacityTable[T water out] = $H$8) * (CapacityTable[Type] = $C$10) * (CapacityTable[Results origin] = "Simulation values") * (CapacityTable[Mode] = "Cooling"),Tableau2[]),1,6)</f>
        <v>1.0360556548695099</v>
      </c>
      <c r="J14" s="87" cm="1">
        <f t="array" ref="J14">INDEX(_xlfn._xlws.FILTER(CapacityTable[], (CapacityTable[Model] = $B$10) * (CapacityTable[T ext] = $D14) * (CapacityTable[T water out] = $H$8) * (CapacityTable[Type] = $C$10) * (CapacityTable[Results origin] = "Simulation values") * (CapacityTable[Mode] = "Cooling"),Tableau2[]),1,7)</f>
        <v>5.5998731522627203</v>
      </c>
      <c r="K14" s="23"/>
    </row>
    <row r="15" spans="1:11" ht="15.75" thickBot="1" x14ac:dyDescent="0.3">
      <c r="A15" s="31"/>
      <c r="B15" s="277"/>
      <c r="C15" s="295"/>
      <c r="D15" s="114">
        <v>20</v>
      </c>
      <c r="E15" s="76" cm="1">
        <f t="array" ref="E15">INDEX(_xlfn._xlws.FILTER(CapacityTable[], (CapacityTable[Model] = $B$10) * (CapacityTable[T ext] = $D15) * (CapacityTable[T water out] = $E$8) * (CapacityTable[Type] = $C$10) * (CapacityTable[Results origin] = "Simulation values") * (CapacityTable[Mode] = "Cooling"),Tableau2[]),1,5)</f>
        <v>5.7747098348207802</v>
      </c>
      <c r="F15" s="79" cm="1">
        <f t="array" ref="F15">INDEX(_xlfn._xlws.FILTER(CapacityTable[], (CapacityTable[Model] = $B$10) * (CapacityTable[T ext] = $D15) * (CapacityTable[T water out] = $E$8) * (CapacityTable[Type] = $C$10) * (CapacityTable[Results origin] = "Simulation values") * (CapacityTable[Mode] = "Cooling"),Tableau2[]),1,6)</f>
        <v>1.3970234108278097</v>
      </c>
      <c r="G15" s="235" cm="1">
        <f t="array" ref="G15">INDEX(_xlfn._xlws.FILTER(CapacityTable[], (CapacityTable[Model] = $B$10) * (CapacityTable[T ext] = $D15) * (CapacityTable[T water out] = $E$8) * (CapacityTable[Type] = $C$10) * (CapacityTable[Results origin] = "Simulation values") * (CapacityTable[Mode] = "Cooling"),Tableau2[]),1,7)</f>
        <v>4.1335812915253598</v>
      </c>
      <c r="H15" s="89" cm="1">
        <f t="array" ref="H15">INDEX(_xlfn._xlws.FILTER(CapacityTable[], (CapacityTable[Model] = $B$10) * (CapacityTable[T ext] = $D15) * (CapacityTable[T water out] = $H$8) * (CapacityTable[Type] = $C$10) * (CapacityTable[Results origin] = "Simulation values") * (CapacityTable[Mode] = "Cooling"),Tableau2[]),1,5)</f>
        <v>6.0637795762916999</v>
      </c>
      <c r="I15" s="90" cm="1">
        <f t="array" ref="I15">INDEX(_xlfn._xlws.FILTER(CapacityTable[], (CapacityTable[Model] = $B$10) * (CapacityTable[T ext] = $D15) * (CapacityTable[T water out] = $H$8) * (CapacityTable[Type] = $C$10) * (CapacityTable[Results origin] = "Simulation values") * (CapacityTable[Mode] = "Cooling"),Tableau2[]),1,6)</f>
        <v>0.94170266825917914</v>
      </c>
      <c r="J15" s="91" cm="1">
        <f t="array" ref="J15">INDEX(_xlfn._xlws.FILTER(CapacityTable[], (CapacityTable[Model] = $B$10) * (CapacityTable[T ext] = $D15) * (CapacityTable[T water out] = $H$8) * (CapacityTable[Type] = $C$10) * (CapacityTable[Results origin] = "Simulation values") * (CapacityTable[Mode] = "Cooling"),Tableau2[]),1,7)</f>
        <v>6.4391657586583397</v>
      </c>
      <c r="K15" s="23"/>
    </row>
    <row r="16" spans="1:11" x14ac:dyDescent="0.25">
      <c r="A16" s="31"/>
      <c r="B16" s="277"/>
      <c r="C16" s="279" t="s">
        <v>156</v>
      </c>
      <c r="D16" s="122">
        <v>45</v>
      </c>
      <c r="E16" s="182" cm="1">
        <f t="array" ref="E16">INDEX(_xlfn._xlws.FILTER(CapacityTable[], (CapacityTable[Model] = $B$10) * (CapacityTable[T ext] = $D16) * (CapacityTable[T water out] = $E$8) * (CapacityTable[Type] = $C$16) * (CapacityTable[Results origin] = "Simulation values") * (CapacityTable[Mode] = "Cooling"),Tableau2[]),1,5)</f>
        <v>2.13681903349348</v>
      </c>
      <c r="F16" s="183" cm="1">
        <f t="array" ref="F16">INDEX(_xlfn._xlws.FILTER(CapacityTable[], (CapacityTable[Model] = $B$10) * (CapacityTable[T ext] = $D16) * (CapacityTable[T water out] = $E$8) * (CapacityTable[Type] = $C$16) * (CapacityTable[Results origin] = "Simulation values") * (CapacityTable[Mode] = "Cooling"),Tableau2[]),1,6)</f>
        <v>0.82587102615636021</v>
      </c>
      <c r="G16" s="184" cm="1">
        <f t="array" ref="G16">INDEX(_xlfn._xlws.FILTER(CapacityTable[], (CapacityTable[Model] = $B$10) * (CapacityTable[T ext] = $D16) * (CapacityTable[T water out] = $E$8) * (CapacityTable[Type] = $C$16) * (CapacityTable[Results origin] = "Simulation values") * (CapacityTable[Mode] = "Cooling"),Tableau2[]),1,7)</f>
        <v>2.5873519784782002</v>
      </c>
      <c r="H16" s="93" cm="1">
        <f t="array" ref="H16">INDEX(_xlfn._xlws.FILTER(CapacityTable[], (CapacityTable[Model] = $B$10) * (CapacityTable[T ext] = $D16) * (CapacityTable[T water out] = $H$8) * (CapacityTable[Type] = $C$16) * (CapacityTable[Results origin] = "Simulation values") * (CapacityTable[Mode] = "Cooling"),Tableau2[]),1,5)</f>
        <v>1.67327248695164</v>
      </c>
      <c r="I16" s="104" cm="1">
        <f t="array" ref="I16">INDEX(_xlfn._xlws.FILTER(CapacityTable[], (CapacityTable[Model] = $B$10) * (CapacityTable[T ext] = $D16) * (CapacityTable[T water out] = $H$8) * (CapacityTable[Type] = $C$16) * (CapacityTable[Results origin] = "Simulation values") * (CapacityTable[Mode] = "Cooling"),Tableau2[]),1,6)</f>
        <v>0.45711889509891279</v>
      </c>
      <c r="J16" s="99" cm="1">
        <f t="array" ref="J16">INDEX(_xlfn._xlws.FILTER(CapacityTable[], (CapacityTable[Model] = $B$10) * (CapacityTable[T ext] = $D16) * (CapacityTable[T water out] = $H$8) * (CapacityTable[Type] = $C$16) * (CapacityTable[Results origin] = "Simulation values") * (CapacityTable[Mode] = "Cooling"),Tableau2[]),1,7)</f>
        <v>3.66047543624197</v>
      </c>
      <c r="K16" s="23"/>
    </row>
    <row r="17" spans="1:11" x14ac:dyDescent="0.25">
      <c r="A17" s="31"/>
      <c r="B17" s="277"/>
      <c r="C17" s="279"/>
      <c r="D17" s="112">
        <v>40</v>
      </c>
      <c r="E17" s="117" cm="1">
        <f t="array" ref="E17">INDEX(_xlfn._xlws.FILTER(CapacityTable[], (CapacityTable[Model] = $B$10) * (CapacityTable[T ext] = $D17) * (CapacityTable[T water out] = $E$8) * (CapacityTable[Type] = $C$16) * (CapacityTable[Results origin] = "Simulation values") * (CapacityTable[Mode] = "Cooling"),Tableau2[]),1,5)</f>
        <v>2.1869274460535499</v>
      </c>
      <c r="F17" s="104" cm="1">
        <f t="array" ref="F17">INDEX(_xlfn._xlws.FILTER(CapacityTable[], (CapacityTable[Model] = $B$10) * (CapacityTable[T ext] = $D17) * (CapacityTable[T water out] = $E$8) * (CapacityTable[Type] = $C$16) * (CapacityTable[Results origin] = "Simulation values") * (CapacityTable[Mode] = "Cooling"),Tableau2[]),1,6)</f>
        <v>0.78583338256876323</v>
      </c>
      <c r="G17" s="99" cm="1">
        <f t="array" ref="G17">INDEX(_xlfn._xlws.FILTER(CapacityTable[], (CapacityTable[Model] = $B$10) * (CapacityTable[T ext] = $D17) * (CapacityTable[T water out] = $E$8) * (CapacityTable[Type] = $C$16) * (CapacityTable[Results origin] = "Simulation values") * (CapacityTable[Mode] = "Cooling"),Tableau2[]),1,7)</f>
        <v>2.7829403720478698</v>
      </c>
      <c r="H17" s="93" cm="1">
        <f t="array" ref="H17">INDEX(_xlfn._xlws.FILTER(CapacityTable[], (CapacityTable[Model] = $B$10) * (CapacityTable[T ext] = $D17) * (CapacityTable[T water out] = $H$8) * (CapacityTable[Type] = $C$16) * (CapacityTable[Results origin] = "Simulation values") * (CapacityTable[Mode] = "Cooling"),Tableau2[]),1,5)</f>
        <v>3.1777597197572898</v>
      </c>
      <c r="I17" s="104" cm="1">
        <f t="array" ref="I17">INDEX(_xlfn._xlws.FILTER(CapacityTable[], (CapacityTable[Model] = $B$10) * (CapacityTable[T ext] = $D17) * (CapacityTable[T water out] = $H$8) * (CapacityTable[Type] = $C$16) * (CapacityTable[Results origin] = "Simulation values") * (CapacityTable[Mode] = "Cooling"),Tableau2[]),1,6)</f>
        <v>0.7972009047451083</v>
      </c>
      <c r="J17" s="99" cm="1">
        <f t="array" ref="J17">INDEX(_xlfn._xlws.FILTER(CapacityTable[], (CapacityTable[Model] = $B$10) * (CapacityTable[T ext] = $D17) * (CapacityTable[T water out] = $H$8) * (CapacityTable[Type] = $C$16) * (CapacityTable[Results origin] = "Simulation values") * (CapacityTable[Mode] = "Cooling"),Tableau2[]),1,7)</f>
        <v>3.98614665493051</v>
      </c>
      <c r="K17" s="23"/>
    </row>
    <row r="18" spans="1:11" x14ac:dyDescent="0.25">
      <c r="A18" s="31"/>
      <c r="B18" s="277"/>
      <c r="C18" s="280"/>
      <c r="D18" s="113">
        <v>35</v>
      </c>
      <c r="E18" s="115" cm="1">
        <f t="array" ref="E18">INDEX(_xlfn._xlws.FILTER(CapacityTable[], (CapacityTable[Model] = $B$10) * (CapacityTable[T ext] = $D18) * (CapacityTable[T water out] = $E$8) * (CapacityTable[Type] = $C$16) * (CapacityTable[Results origin] = "Simulation values") * (CapacityTable[Mode] = "Cooling"),Tableau2[]),1,5)</f>
        <v>2.2892809453701504</v>
      </c>
      <c r="F18" s="77" cm="1">
        <f t="array" ref="F18">INDEX(_xlfn._xlws.FILTER(CapacityTable[], (CapacityTable[Model] = $B$10) * (CapacityTable[T ext] = $D18) * (CapacityTable[T water out] = $E$8) * (CapacityTable[Type] = $C$16) * (CapacityTable[Results origin] = "Simulation values") * (CapacityTable[Mode] = "Cooling"),Tableau2[]),1,6)</f>
        <v>0.72522648762210495</v>
      </c>
      <c r="G18" s="78" cm="1">
        <f t="array" ref="G18">INDEX(_xlfn._xlws.FILTER(CapacityTable[], (CapacityTable[Model] = $B$10) * (CapacityTable[T ext] = $D18) * (CapacityTable[T water out] = $E$8) * (CapacityTable[Type] = $C$16) * (CapacityTable[Results origin] = "Simulation values") * (CapacityTable[Mode] = "Cooling"),Tableau2[]),1,7)</f>
        <v>3.15664276531917</v>
      </c>
      <c r="H18" s="75" cm="1">
        <f t="array" ref="H18">INDEX(_xlfn._xlws.FILTER(CapacityTable[], (CapacityTable[Model] = $B$10) * (CapacityTable[T ext] = $D18) * (CapacityTable[T water out] = $H$8) * (CapacityTable[Type] = $C$16) * (CapacityTable[Results origin] = "Simulation values") * (CapacityTable[Mode] = "Cooling"),Tableau2[]),1,5)</f>
        <v>2.9829066435091001</v>
      </c>
      <c r="I18" s="77" cm="1">
        <f t="array" ref="I18">INDEX(_xlfn._xlws.FILTER(CapacityTable[], (CapacityTable[Model] = $B$10) * (CapacityTable[T ext] = $D18) * (CapacityTable[T water out] = $H$8) * (CapacityTable[Type] = $C$16) * (CapacityTable[Results origin] = "Simulation values") * (CapacityTable[Mode] = "Cooling"),Tableau2[]),1,6)</f>
        <v>0.65299782013235796</v>
      </c>
      <c r="J18" s="78" cm="1">
        <f t="array" ref="J18">INDEX(_xlfn._xlws.FILTER(CapacityTable[], (CapacityTable[Model] = $B$10) * (CapacityTable[T ext] = $D18) * (CapacityTable[T water out] = $H$8) * (CapacityTable[Type] = $C$16) * (CapacityTable[Results origin] = "Simulation values") * (CapacityTable[Mode] = "Cooling"),Tableau2[]),1,7)</f>
        <v>4.5680192973760398</v>
      </c>
      <c r="K18" s="23"/>
    </row>
    <row r="19" spans="1:11" x14ac:dyDescent="0.25">
      <c r="A19" s="31"/>
      <c r="B19" s="277"/>
      <c r="C19" s="280"/>
      <c r="D19" s="113">
        <v>30</v>
      </c>
      <c r="E19" s="115" cm="1">
        <f t="array" ref="E19">INDEX(_xlfn._xlws.FILTER(CapacityTable[], (CapacityTable[Model] = $B$10) * (CapacityTable[T ext] = $D19) * (CapacityTable[T water out] = $E$8) * (CapacityTable[Type] = $C$16) * (CapacityTable[Results origin] = "Simulation values") * (CapacityTable[Mode] = "Cooling"),Tableau2[]),1,5)</f>
        <v>2.3902660079167397</v>
      </c>
      <c r="F19" s="77" cm="1">
        <f t="array" ref="F19">INDEX(_xlfn._xlws.FILTER(CapacityTable[], (CapacityTable[Model] = $B$10) * (CapacityTable[T ext] = $D19) * (CapacityTable[T water out] = $E$8) * (CapacityTable[Type] = $C$16) * (CapacityTable[Results origin] = "Simulation values") * (CapacityTable[Mode] = "Cooling"),Tableau2[]),1,6)</f>
        <v>0.66771064568101512</v>
      </c>
      <c r="G19" s="78" cm="1">
        <f t="array" ref="G19">INDEX(_xlfn._xlws.FILTER(CapacityTable[], (CapacityTable[Model] = $B$10) * (CapacityTable[T ext] = $D19) * (CapacityTable[T water out] = $E$8) * (CapacityTable[Type] = $C$16) * (CapacityTable[Results origin] = "Simulation values") * (CapacityTable[Mode] = "Cooling"),Tableau2[]),1,7)</f>
        <v>3.5797931684597399</v>
      </c>
      <c r="H19" s="75" cm="1">
        <f t="array" ref="H19">INDEX(_xlfn._xlws.FILTER(CapacityTable[], (CapacityTable[Model] = $B$10) * (CapacityTable[T ext] = $D19) * (CapacityTable[T water out] = $H$8) * (CapacityTable[Type] = $C$16) * (CapacityTable[Results origin] = "Simulation values") * (CapacityTable[Mode] = "Cooling"),Tableau2[]),1,5)</f>
        <v>3.1143927427083198</v>
      </c>
      <c r="I19" s="77" cm="1">
        <f t="array" ref="I19">INDEX(_xlfn._xlws.FILTER(CapacityTable[], (CapacityTable[Model] = $B$10) * (CapacityTable[T ext] = $D19) * (CapacityTable[T water out] = $H$8) * (CapacityTable[Type] = $C$16) * (CapacityTable[Results origin] = "Simulation values") * (CapacityTable[Mode] = "Cooling"),Tableau2[]),1,6)</f>
        <v>0.5938019750383654</v>
      </c>
      <c r="J19" s="78" cm="1">
        <f t="array" ref="J19">INDEX(_xlfn._xlws.FILTER(CapacityTable[], (CapacityTable[Model] = $B$10) * (CapacityTable[T ext] = $D19) * (CapacityTable[T water out] = $H$8) * (CapacityTable[Type] = $C$16) * (CapacityTable[Results origin] = "Simulation values") * (CapacityTable[Mode] = "Cooling"),Tableau2[]),1,7)</f>
        <v>5.2448339238128998</v>
      </c>
      <c r="K19" s="23"/>
    </row>
    <row r="20" spans="1:11" x14ac:dyDescent="0.25">
      <c r="A20" s="31"/>
      <c r="B20" s="277"/>
      <c r="C20" s="280"/>
      <c r="D20" s="113">
        <v>25</v>
      </c>
      <c r="E20" s="115" cm="1">
        <f t="array" ref="E20">INDEX(_xlfn._xlws.FILTER(CapacityTable[], (CapacityTable[Model] = $B$10) * (CapacityTable[T ext] = $D20) * (CapacityTable[T water out] = $E$8) * (CapacityTable[Type] = $C$16) * (CapacityTable[Results origin] = "Simulation values") * (CapacityTable[Mode] = "Cooling"),Tableau2[]),1,5)</f>
        <v>2.49585190792904</v>
      </c>
      <c r="F20" s="77" cm="1">
        <f t="array" ref="F20">INDEX(_xlfn._xlws.FILTER(CapacityTable[], (CapacityTable[Model] = $B$10) * (CapacityTable[T ext] = $D20) * (CapacityTable[T water out] = $E$8) * (CapacityTable[Type] = $C$16) * (CapacityTable[Results origin] = "Simulation values") * (CapacityTable[Mode] = "Cooling"),Tableau2[]),1,6)</f>
        <v>0.6115913780418607</v>
      </c>
      <c r="G20" s="78" cm="1">
        <f t="array" ref="G20">INDEX(_xlfn._xlws.FILTER(CapacityTable[], (CapacityTable[Model] = $B$10) * (CapacityTable[T ext] = $D20) * (CapacityTable[T water out] = $E$8) * (CapacityTable[Type] = $C$16) * (CapacityTable[Results origin] = "Simulation values") * (CapacityTable[Mode] = "Cooling"),Tableau2[]),1,7)</f>
        <v>4.0809141487900602</v>
      </c>
      <c r="H20" s="75" cm="1">
        <f t="array" ref="H20">INDEX(_xlfn._xlws.FILTER(CapacityTable[], (CapacityTable[Model] = $B$10) * (CapacityTable[T ext] = $D20) * (CapacityTable[T water out] = $H$8) * (CapacityTable[Type] = $C$16) * (CapacityTable[Results origin] = "Simulation values") * (CapacityTable[Mode] = "Cooling"),Tableau2[]),1,5)</f>
        <v>3.2511115583258801</v>
      </c>
      <c r="I20" s="77" cm="1">
        <f t="array" ref="I20">INDEX(_xlfn._xlws.FILTER(CapacityTable[], (CapacityTable[Model] = $B$10) * (CapacityTable[T ext] = $D20) * (CapacityTable[T water out] = $H$8) * (CapacityTable[Type] = $C$16) * (CapacityTable[Results origin] = "Simulation values") * (CapacityTable[Mode] = "Cooling"),Tableau2[]),1,6)</f>
        <v>0.53632915937494785</v>
      </c>
      <c r="J20" s="78" cm="1">
        <f t="array" ref="J20">INDEX(_xlfn._xlws.FILTER(CapacityTable[], (CapacityTable[Model] = $B$10) * (CapacityTable[T ext] = $D20) * (CapacityTable[T water out] = $H$8) * (CapacityTable[Type] = $C$16) * (CapacityTable[Results origin] = "Simulation values") * (CapacityTable[Mode] = "Cooling"),Tableau2[]),1,7)</f>
        <v>6.0617840769925904</v>
      </c>
      <c r="K20" s="23"/>
    </row>
    <row r="21" spans="1:11" ht="15.75" thickBot="1" x14ac:dyDescent="0.3">
      <c r="A21" s="31"/>
      <c r="B21" s="277"/>
      <c r="C21" s="281"/>
      <c r="D21" s="114">
        <v>20</v>
      </c>
      <c r="E21" s="116" cm="1">
        <f t="array" ref="E21">INDEX(_xlfn._xlws.FILTER(CapacityTable[], (CapacityTable[Model] = $B$10) * (CapacityTable[T ext] = $D21) * (CapacityTable[T water out] = $E$8) * (CapacityTable[Type] = $C$16) * (CapacityTable[Results origin] = "Simulation values") * (CapacityTable[Mode] = "Cooling"),Tableau2[]),1,5)</f>
        <v>2.6129072741341002</v>
      </c>
      <c r="F21" s="79" cm="1">
        <f t="array" ref="F21">INDEX(_xlfn._xlws.FILTER(CapacityTable[], (CapacityTable[Model] = $B$10) * (CapacityTable[T ext] = $D21) * (CapacityTable[T water out] = $E$8) * (CapacityTable[Type] = $C$16) * (CapacityTable[Results origin] = "Simulation values") * (CapacityTable[Mode] = "Cooling"),Tableau2[]),1,6)</f>
        <v>0.55507585184349606</v>
      </c>
      <c r="G21" s="80" cm="1">
        <f t="array" ref="G21">INDEX(_xlfn._xlws.FILTER(CapacityTable[], (CapacityTable[Model] = $B$10) * (CapacityTable[T ext] = $D21) * (CapacityTable[T water out] = $E$8) * (CapacityTable[Type] = $C$16) * (CapacityTable[Results origin] = "Simulation values") * (CapacityTable[Mode] = "Cooling"),Tableau2[]),1,7)</f>
        <v>4.7072976881559798</v>
      </c>
      <c r="H21" s="76" cm="1">
        <f t="array" ref="H21">INDEX(_xlfn._xlws.FILTER(CapacityTable[], (CapacityTable[Model] = $B$10) * (CapacityTable[T ext] = $D21) * (CapacityTable[T water out] = $H$8) * (CapacityTable[Type] = $C$16) * (CapacityTable[Results origin] = "Simulation values") * (CapacityTable[Mode] = "Cooling"),Tableau2[]),1,5)</f>
        <v>2.9307992329702901</v>
      </c>
      <c r="I21" s="79" cm="1">
        <f t="array" ref="I21">INDEX(_xlfn._xlws.FILTER(CapacityTable[], (CapacityTable[Model] = $B$10) * (CapacityTable[T ext] = $D21) * (CapacityTable[T water out] = $H$8) * (CapacityTable[Type] = $C$16) * (CapacityTable[Results origin] = "Simulation values") * (CapacityTable[Mode] = "Cooling"),Tableau2[]),1,6)</f>
        <v>0.41151485556100775</v>
      </c>
      <c r="J21" s="80" cm="1">
        <f t="array" ref="J21">INDEX(_xlfn._xlws.FILTER(CapacityTable[], (CapacityTable[Model] = $B$10) * (CapacityTable[T ext] = $D21) * (CapacityTable[T water out] = $H$8) * (CapacityTable[Type] = $C$16) * (CapacityTable[Results origin] = "Simulation values") * (CapacityTable[Mode] = "Cooling"),Tableau2[]),1,7)</f>
        <v>7.1219767485059702</v>
      </c>
      <c r="K21" s="23"/>
    </row>
    <row r="22" spans="1:11" x14ac:dyDescent="0.25">
      <c r="A22" s="31"/>
      <c r="B22" s="277"/>
      <c r="C22" s="282" t="s">
        <v>166</v>
      </c>
      <c r="D22" s="122">
        <v>45</v>
      </c>
      <c r="E22" s="182" cm="1">
        <f t="array" ref="E22">INDEX(_xlfn._xlws.FILTER(CapacityTable[], (CapacityTable[Model] = $B$10) * (CapacityTable[T ext] = $D22) * (CapacityTable[T water out] = $E$8) * (CapacityTable[Type] = $C$22) * (CapacityTable[Results origin] = "Simulation values") * (CapacityTable[Mode] = "Cooling"),Tableau2[]),1,5)</f>
        <v>1.1553551323581801</v>
      </c>
      <c r="F22" s="183" cm="1">
        <f t="array" ref="F22">INDEX(_xlfn._xlws.FILTER(CapacityTable[], (CapacityTable[Model] = $B$10) * (CapacityTable[T ext] = $D22) * (CapacityTable[T water out] = $E$8) * (CapacityTable[Type] = $C$22) * (CapacityTable[Results origin] = "Simulation values") * (CapacityTable[Mode] = "Cooling"),Tableau2[]),1,6)</f>
        <v>0.45661717791800793</v>
      </c>
      <c r="G22" s="184" cm="1">
        <f t="array" ref="G22">INDEX(_xlfn._xlws.FILTER(CapacityTable[], (CapacityTable[Model] = $B$10) * (CapacityTable[T ext] = $D22) * (CapacityTable[T water out] = $E$8) * (CapacityTable[Type] = $C$22) * (CapacityTable[Results origin] = "Simulation values") * (CapacityTable[Mode] = "Cooling"),Tableau2[]),1,7)</f>
        <v>2.5302489442603502</v>
      </c>
      <c r="H22" s="185" cm="1">
        <f t="array" ref="H22">INDEX(_xlfn._xlws.FILTER(CapacityTable[], (CapacityTable[Model] = $B$10) * (CapacityTable[T ext] = $D22) * (CapacityTable[T water out] = $H$8) * (CapacityTable[Type] = $C$22) * (CapacityTable[Results origin] = "Simulation values") * (CapacityTable[Mode] = "Cooling"),Tableau2[]),1,5)</f>
        <v>1.67327248695164</v>
      </c>
      <c r="I22" s="183" cm="1">
        <f t="array" ref="I22">INDEX(_xlfn._xlws.FILTER(CapacityTable[], (CapacityTable[Model] = $B$10) * (CapacityTable[T ext] = $D22) * (CapacityTable[T water out] = $H$8) * (CapacityTable[Type] = $C$22) * (CapacityTable[Results origin] = "Simulation values") * (CapacityTable[Mode] = "Cooling"),Tableau2[]),1,6)</f>
        <v>0.45711889509891279</v>
      </c>
      <c r="J22" s="184" cm="1">
        <f t="array" ref="J22">INDEX(_xlfn._xlws.FILTER(CapacityTable[], (CapacityTable[Model] = $B$10) * (CapacityTable[T ext] = $D22) * (CapacityTable[T water out] = $H$8) * (CapacityTable[Type] = $C$22) * (CapacityTable[Results origin] = "Simulation values") * (CapacityTable[Mode] = "Cooling"),Tableau2[]),1,7)</f>
        <v>3.66047543624197</v>
      </c>
      <c r="K22" s="23"/>
    </row>
    <row r="23" spans="1:11" x14ac:dyDescent="0.25">
      <c r="A23" s="31"/>
      <c r="B23" s="277"/>
      <c r="C23" s="279"/>
      <c r="D23" s="112">
        <v>40</v>
      </c>
      <c r="E23" s="117" cm="1">
        <f t="array" ref="E23">INDEX(_xlfn._xlws.FILTER(CapacityTable[], (CapacityTable[Model] = $B$10) * (CapacityTable[T ext] = $D23) * (CapacityTable[T water out] = $E$8) * (CapacityTable[Type] = $C$22) * (CapacityTable[Results origin] = "Simulation values") * (CapacityTable[Mode] = "Cooling"),Tableau2[]),1,5)</f>
        <v>1.17500962042978</v>
      </c>
      <c r="F23" s="104" cm="1">
        <f t="array" ref="F23">INDEX(_xlfn._xlws.FILTER(CapacityTable[], (CapacityTable[Model] = $B$10) * (CapacityTable[T ext] = $D23) * (CapacityTable[T water out] = $E$8) * (CapacityTable[Type] = $C$22) * (CapacityTable[Results origin] = "Simulation values") * (CapacityTable[Mode] = "Cooling"),Tableau2[]),1,6)</f>
        <v>0.44658410387622632</v>
      </c>
      <c r="G23" s="99" cm="1">
        <f t="array" ref="G23">INDEX(_xlfn._xlws.FILTER(CapacityTable[], (CapacityTable[Model] = $B$10) * (CapacityTable[T ext] = $D23) * (CapacityTable[T water out] = $E$8) * (CapacityTable[Type] = $C$22) * (CapacityTable[Results origin] = "Simulation values") * (CapacityTable[Mode] = "Cooling"),Tableau2[]),1,7)</f>
        <v>2.6311048920707698</v>
      </c>
      <c r="H23" s="93" cm="1">
        <f t="array" ref="H23">INDEX(_xlfn._xlws.FILTER(CapacityTable[], (CapacityTable[Model] = $B$10) * (CapacityTable[T ext] = $D23) * (CapacityTable[T water out] = $H$8) * (CapacityTable[Type] = $C$22) * (CapacityTable[Results origin] = "Simulation values") * (CapacityTable[Mode] = "Cooling"),Tableau2[]),1,5)</f>
        <v>1.70726566020223</v>
      </c>
      <c r="I23" s="104" cm="1">
        <f t="array" ref="I23">INDEX(_xlfn._xlws.FILTER(CapacityTable[], (CapacityTable[Model] = $B$10) * (CapacityTable[T ext] = $D23) * (CapacityTable[T water out] = $H$8) * (CapacityTable[Type] = $C$22) * (CapacityTable[Results origin] = "Simulation values") * (CapacityTable[Mode] = "Cooling"),Tableau2[]),1,6)</f>
        <v>0.43774487776518939</v>
      </c>
      <c r="J23" s="99" cm="1">
        <f t="array" ref="J23">INDEX(_xlfn._xlws.FILTER(CapacityTable[], (CapacityTable[Model] = $B$10) * (CapacityTable[T ext] = $D23) * (CapacityTable[T water out] = $H$8) * (CapacityTable[Type] = $C$22) * (CapacityTable[Results origin] = "Simulation values") * (CapacityTable[Mode] = "Cooling"),Tableau2[]),1,7)</f>
        <v>3.9001385211365598</v>
      </c>
      <c r="K23" s="23"/>
    </row>
    <row r="24" spans="1:11" x14ac:dyDescent="0.25">
      <c r="A24" s="31"/>
      <c r="B24" s="277"/>
      <c r="C24" s="280"/>
      <c r="D24" s="113">
        <v>35</v>
      </c>
      <c r="E24" s="115" cm="1">
        <f t="array" ref="E24">INDEX(_xlfn._xlws.FILTER(CapacityTable[], (CapacityTable[Model] = $B$10) * (CapacityTable[T ext] = $D24) * (CapacityTable[T water out] = $E$8) * (CapacityTable[Type] = $C$22) * (CapacityTable[Results origin] = "Simulation values") * (CapacityTable[Mode] = "Cooling"),Tableau2[]),1,5)</f>
        <v>1.22345542892242</v>
      </c>
      <c r="F24" s="77" cm="1">
        <f t="array" ref="F24">INDEX(_xlfn._xlws.FILTER(CapacityTable[], (CapacityTable[Model] = $B$10) * (CapacityTable[T ext] = $D24) * (CapacityTable[T water out] = $E$8) * (CapacityTable[Type] = $C$22) * (CapacityTable[Results origin] = "Simulation values") * (CapacityTable[Mode] = "Cooling"),Tableau2[]),1,6)</f>
        <v>0.4108351314520185</v>
      </c>
      <c r="G24" s="78" cm="1">
        <f t="array" ref="G24">INDEX(_xlfn._xlws.FILTER(CapacityTable[], (CapacityTable[Model] = $B$10) * (CapacityTable[T ext] = $D24) * (CapacityTable[T water out] = $E$8) * (CapacityTable[Type] = $C$22) * (CapacityTable[Results origin] = "Simulation values") * (CapacityTable[Mode] = "Cooling"),Tableau2[]),1,7)</f>
        <v>2.97797178298348</v>
      </c>
      <c r="H24" s="75" cm="1">
        <f t="array" ref="H24">INDEX(_xlfn._xlws.FILTER(CapacityTable[], (CapacityTable[Model] = $B$10) * (CapacityTable[T ext] = $D24) * (CapacityTable[T water out] = $H$8) * (CapacityTable[Type] = $C$22) * (CapacityTable[Results origin] = "Simulation values") * (CapacityTable[Mode] = "Cooling"),Tableau2[]),1,5)</f>
        <v>1.78393066588259</v>
      </c>
      <c r="I24" s="77" cm="1">
        <f t="array" ref="I24">INDEX(_xlfn._xlws.FILTER(CapacityTable[], (CapacityTable[Model] = $B$10) * (CapacityTable[T ext] = $D24) * (CapacityTable[T water out] = $H$8) * (CapacityTable[Type] = $C$22) * (CapacityTable[Results origin] = "Simulation values") * (CapacityTable[Mode] = "Cooling"),Tableau2[]),1,6)</f>
        <v>0.39846638243615029</v>
      </c>
      <c r="J24" s="78" cm="1">
        <f t="array" ref="J24">INDEX(_xlfn._xlws.FILTER(CapacityTable[], (CapacityTable[Model] = $B$10) * (CapacityTable[T ext] = $D24) * (CapacityTable[T water out] = $H$8) * (CapacityTable[Type] = $C$22) * (CapacityTable[Results origin] = "Simulation values") * (CapacityTable[Mode] = "Cooling"),Tableau2[]),1,7)</f>
        <v>4.4769916472651099</v>
      </c>
      <c r="K24" s="23"/>
    </row>
    <row r="25" spans="1:11" x14ac:dyDescent="0.25">
      <c r="A25" s="31"/>
      <c r="B25" s="277"/>
      <c r="C25" s="280"/>
      <c r="D25" s="113">
        <v>30</v>
      </c>
      <c r="E25" s="115" cm="1">
        <f t="array" ref="E25">INDEX(_xlfn._xlws.FILTER(CapacityTable[], (CapacityTable[Model] = $B$10) * (CapacityTable[T ext] = $D25) * (CapacityTable[T water out] = $E$8) * (CapacityTable[Type] = $C$22) * (CapacityTable[Results origin] = "Simulation values") * (CapacityTable[Mode] = "Cooling"),Tableau2[]),1,5)</f>
        <v>1.27450030960195</v>
      </c>
      <c r="F25" s="77" cm="1">
        <f t="array" ref="F25">INDEX(_xlfn._xlws.FILTER(CapacityTable[], (CapacityTable[Model] = $B$10) * (CapacityTable[T ext] = $D25) * (CapacityTable[T water out] = $E$8) * (CapacityTable[Type] = $C$22) * (CapacityTable[Results origin] = "Simulation values") * (CapacityTable[Mode] = "Cooling"),Tableau2[]),1,6)</f>
        <v>0.3770662339729301</v>
      </c>
      <c r="G25" s="78" cm="1">
        <f t="array" ref="G25">INDEX(_xlfn._xlws.FILTER(CapacityTable[], (CapacityTable[Model] = $B$10) * (CapacityTable[T ext] = $D25) * (CapacityTable[T water out] = $E$8) * (CapacityTable[Type] = $C$22) * (CapacityTable[Results origin] = "Simulation values") * (CapacityTable[Mode] = "Cooling"),Tableau2[]),1,7)</f>
        <v>3.3800435965142599</v>
      </c>
      <c r="H25" s="75" cm="1">
        <f t="array" ref="H25">INDEX(_xlfn._xlws.FILTER(CapacityTable[], (CapacityTable[Model] = $B$10) * (CapacityTable[T ext] = $D25) * (CapacityTable[T water out] = $H$8) * (CapacityTable[Type] = $C$22) * (CapacityTable[Results origin] = "Simulation values") * (CapacityTable[Mode] = "Cooling"),Tableau2[]),1,5)</f>
        <v>1.86268660823995</v>
      </c>
      <c r="I25" s="77" cm="1">
        <f t="array" ref="I25">INDEX(_xlfn._xlws.FILTER(CapacityTable[], (CapacityTable[Model] = $B$10) * (CapacityTable[T ext] = $D25) * (CapacityTable[T water out] = $H$8) * (CapacityTable[Type] = $C$22) * (CapacityTable[Results origin] = "Simulation values") * (CapacityTable[Mode] = "Cooling"),Tableau2[]),1,6)</f>
        <v>0.36150315521749604</v>
      </c>
      <c r="J25" s="78" cm="1">
        <f t="array" ref="J25">INDEX(_xlfn._xlws.FILTER(CapacityTable[], (CapacityTable[Model] = $B$10) * (CapacityTable[T ext] = $D25) * (CapacityTable[T water out] = $H$8) * (CapacityTable[Type] = $C$22) * (CapacityTable[Results origin] = "Simulation values") * (CapacityTable[Mode] = "Cooling"),Tableau2[]),1,7)</f>
        <v>5.1526150777834197</v>
      </c>
      <c r="K25" s="23"/>
    </row>
    <row r="26" spans="1:11" x14ac:dyDescent="0.25">
      <c r="A26" s="31"/>
      <c r="B26" s="277"/>
      <c r="C26" s="280"/>
      <c r="D26" s="113">
        <v>25</v>
      </c>
      <c r="E26" s="115" cm="1">
        <f t="array" ref="E26">INDEX(_xlfn._xlws.FILTER(CapacityTable[], (CapacityTable[Model] = $B$10) * (CapacityTable[T ext] = $D26) * (CapacityTable[T water out] = $E$8) * (CapacityTable[Type] = $C$22) * (CapacityTable[Results origin] = "Simulation values") * (CapacityTable[Mode] = "Cooling"),Tableau2[]),1,5)</f>
        <v>1.3318267894993101</v>
      </c>
      <c r="F26" s="77" cm="1">
        <f t="array" ref="F26">INDEX(_xlfn._xlws.FILTER(CapacityTable[], (CapacityTable[Model] = $B$10) * (CapacityTable[T ext] = $D26) * (CapacityTable[T water out] = $E$8) * (CapacityTable[Type] = $C$22) * (CapacityTable[Results origin] = "Simulation values") * (CapacityTable[Mode] = "Cooling"),Tableau2[]),1,6)</f>
        <v>0.34381333417496607</v>
      </c>
      <c r="G26" s="78" cm="1">
        <f t="array" ref="G26">INDEX(_xlfn._xlws.FILTER(CapacityTable[], (CapacityTable[Model] = $B$10) * (CapacityTable[T ext] = $D26) * (CapacityTable[T water out] = $E$8) * (CapacityTable[Type] = $C$22) * (CapacityTable[Results origin] = "Simulation values") * (CapacityTable[Mode] = "Cooling"),Tableau2[]),1,7)</f>
        <v>3.8736914980195198</v>
      </c>
      <c r="H26" s="75" cm="1">
        <f t="array" ref="H26">INDEX(_xlfn._xlws.FILTER(CapacityTable[], (CapacityTable[Model] = $B$10) * (CapacityTable[T ext] = $D26) * (CapacityTable[T water out] = $H$8) * (CapacityTable[Type] = $C$22) * (CapacityTable[Results origin] = "Simulation values") * (CapacityTable[Mode] = "Cooling"),Tableau2[]),1,5)</f>
        <v>1.9473612511248499</v>
      </c>
      <c r="I26" s="77" cm="1">
        <f t="array" ref="I26">INDEX(_xlfn._xlws.FILTER(CapacityTable[], (CapacityTable[Model] = $B$10) * (CapacityTable[T ext] = $D26) * (CapacityTable[T water out] = $H$8) * (CapacityTable[Type] = $C$22) * (CapacityTable[Results origin] = "Simulation values") * (CapacityTable[Mode] = "Cooling"),Tableau2[]),1,6)</f>
        <v>0.32534663373229844</v>
      </c>
      <c r="J26" s="78" cm="1">
        <f t="array" ref="J26">INDEX(_xlfn._xlws.FILTER(CapacityTable[], (CapacityTable[Model] = $B$10) * (CapacityTable[T ext] = $D26) * (CapacityTable[T water out] = $H$8) * (CapacityTable[Type] = $C$22) * (CapacityTable[Results origin] = "Simulation values") * (CapacityTable[Mode] = "Cooling"),Tableau2[]),1,7)</f>
        <v>5.9854968492687002</v>
      </c>
      <c r="K26" s="23"/>
    </row>
    <row r="27" spans="1:11" ht="15.75" thickBot="1" x14ac:dyDescent="0.3">
      <c r="A27" s="31"/>
      <c r="B27" s="278"/>
      <c r="C27" s="283"/>
      <c r="D27" s="114">
        <v>20</v>
      </c>
      <c r="E27" s="118" cm="1">
        <f t="array" ref="E27">INDEX(_xlfn._xlws.FILTER(CapacityTable[], (CapacityTable[Model] = $B$10) * (CapacityTable[T ext] = $D27) * (CapacityTable[T water out] = $E$8) * (CapacityTable[Type] = $C$22) * (CapacityTable[Results origin] = "Simulation values") * (CapacityTable[Mode] = "Cooling"),Tableau2[]),1,5)</f>
        <v>1.3995820686209699</v>
      </c>
      <c r="F27" s="105" cm="1">
        <f t="array" ref="F27">INDEX(_xlfn._xlws.FILTER(CapacityTable[], (CapacityTable[Model] = $B$10) * (CapacityTable[T ext] = $D27) * (CapacityTable[T water out] = $E$8) * (CapacityTable[Type] = $C$22) * (CapacityTable[Results origin] = "Simulation values") * (CapacityTable[Mode] = "Cooling"),Tableau2[]),1,6)</f>
        <v>0.30971417581422656</v>
      </c>
      <c r="G27" s="100" cm="1">
        <f t="array" ref="G27">INDEX(_xlfn._xlws.FILTER(CapacityTable[], (CapacityTable[Model] = $B$10) * (CapacityTable[T ext] = $D27) * (CapacityTable[T water out] = $E$8) * (CapacityTable[Type] = $C$22) * (CapacityTable[Results origin] = "Simulation values") * (CapacityTable[Mode] = "Cooling"),Tableau2[]),1,7)</f>
        <v>4.5189473970363903</v>
      </c>
      <c r="H27" s="94" cm="1">
        <f t="array" ref="H27">INDEX(_xlfn._xlws.FILTER(CapacityTable[], (CapacityTable[Model] = $B$10) * (CapacityTable[T ext] = $D27) * (CapacityTable[T water out] = $H$8) * (CapacityTable[Type] = $C$22) * (CapacityTable[Results origin] = "Simulation values") * (CapacityTable[Mode] = "Cooling"),Tableau2[]),1,5)</f>
        <v>2.0417185862487099</v>
      </c>
      <c r="I27" s="105" cm="1">
        <f t="array" ref="I27">INDEX(_xlfn._xlws.FILTER(CapacityTable[], (CapacityTable[Model] = $B$10) * (CapacityTable[T ext] = $D27) * (CapacityTable[T water out] = $H$8) * (CapacityTable[Type] = $C$22) * (CapacityTable[Results origin] = "Simulation values") * (CapacityTable[Mode] = "Cooling"),Tableau2[]),1,6)</f>
        <v>0.28856011002262638</v>
      </c>
      <c r="J27" s="100" cm="1">
        <f t="array" ref="J27">INDEX(_xlfn._xlws.FILTER(CapacityTable[], (CapacityTable[Model] = $B$10) * (CapacityTable[T ext] = $D27) * (CapacityTable[T water out] = $H$8) * (CapacityTable[Type] = $C$22) * (CapacityTable[Results origin] = "Simulation values") * (CapacityTable[Mode] = "Cooling"),Tableau2[]),1,7)</f>
        <v>7.0755399493319304</v>
      </c>
      <c r="K27" s="23"/>
    </row>
    <row r="28" spans="1:11" x14ac:dyDescent="0.25">
      <c r="B28" s="276" t="s">
        <v>25</v>
      </c>
      <c r="C28" s="279" t="s">
        <v>165</v>
      </c>
      <c r="D28" s="122">
        <v>45</v>
      </c>
      <c r="E28" s="182" cm="1">
        <f t="array" ref="E28">INDEX(_xlfn._xlws.FILTER(CapacityTable[], (CapacityTable[Model] = $B$28) * (CapacityTable[T ext] = $D28) * (CapacityTable[T water out] = $E$8) * (CapacityTable[Type] = $C$28) * (CapacityTable[Results origin] = "Simulation values") * (CapacityTable[Mode] = "Cooling"),Tableau2[]),1,5)</f>
        <v>5.9611851600000003</v>
      </c>
      <c r="F28" s="183" cm="1">
        <f t="array" ref="F28">INDEX(_xlfn._xlws.FILTER(CapacityTable[], (CapacityTable[Model] = $B$28) * (CapacityTable[T ext] = $D28) * (CapacityTable[T water out] = $E$8) * (CapacityTable[Type] = $C$28) * (CapacityTable[Results origin] = "Simulation values") * (CapacityTable[Mode] = "Cooling"),Tableau2[]),1,6)</f>
        <v>2.6623719080980459</v>
      </c>
      <c r="G28" s="184" cm="1">
        <f t="array" ref="G28">INDEX(_xlfn._xlws.FILTER(CapacityTable[], (CapacityTable[Model] = $B$28) * (CapacityTable[T ext] = $D28) * (CapacityTable[T water out] = $E$8) * (CapacityTable[Type] = $C$28) * (CapacityTable[Results origin] = "Simulation values") * (CapacityTable[Mode] = "Cooling"),Tableau2[]),1,7)</f>
        <v>2.2390505030000001</v>
      </c>
      <c r="H28" s="185" cm="1">
        <f t="array" ref="H28">INDEX(_xlfn._xlws.FILTER(CapacityTable[], (CapacityTable[Model] = $B$28) * (CapacityTable[T ext] = $D28) * (CapacityTable[T water out] = $H$8) * (CapacityTable[Type] = $C$28) * (CapacityTable[Results origin] = "Simulation values") * (CapacityTable[Mode] = "Cooling"),Tableau2[]),1,5)</f>
        <v>8.487886829999999</v>
      </c>
      <c r="I28" s="183" cm="1">
        <f t="array" ref="I28">INDEX(_xlfn._xlws.FILTER(CapacityTable[], (CapacityTable[Model] = $B$28) * (CapacityTable[T ext] = $D28) * (CapacityTable[T water out] = $H$8) * (CapacityTable[Type] = $C$28) * (CapacityTable[Results origin] = "Simulation values") * (CapacityTable[Mode] = "Cooling"),Tableau2[]),1,6)</f>
        <v>2.8539269660728888</v>
      </c>
      <c r="J28" s="184" cm="1">
        <f t="array" ref="J28">INDEX(_xlfn._xlws.FILTER(CapacityTable[], (CapacityTable[Model] = $B$28) * (CapacityTable[T ext] = $D28) * (CapacityTable[T water out] = $H$8) * (CapacityTable[Type] = $C$28) * (CapacityTable[Results origin] = "Simulation values") * (CapacityTable[Mode] = "Cooling"),Tableau2[]),1,7)</f>
        <v>2.974107933</v>
      </c>
    </row>
    <row r="29" spans="1:11" x14ac:dyDescent="0.25">
      <c r="B29" s="276"/>
      <c r="C29" s="279"/>
      <c r="D29" s="112">
        <v>40</v>
      </c>
      <c r="E29" s="117" cm="1">
        <f t="array" ref="E29">INDEX(_xlfn._xlws.FILTER(CapacityTable[], (CapacityTable[Model] = $B$28) * (CapacityTable[T ext] = $D29) * (CapacityTable[T water out] = $E$8) * (CapacityTable[Type] = $C$28) * (CapacityTable[Results origin] = "Simulation values") * (CapacityTable[Mode] = "Cooling"),Tableau2[]),1,5)</f>
        <v>6.2035918670000001</v>
      </c>
      <c r="F29" s="104" cm="1">
        <f t="array" ref="F29">INDEX(_xlfn._xlws.FILTER(CapacityTable[], (CapacityTable[Model] = $B$28) * (CapacityTable[T ext] = $D29) * (CapacityTable[T water out] = $E$8) * (CapacityTable[Type] = $C$28) * (CapacityTable[Results origin] = "Simulation values") * (CapacityTable[Mode] = "Cooling"),Tableau2[]),1,6)</f>
        <v>2.5141433370315194</v>
      </c>
      <c r="G29" s="99" cm="1">
        <f t="array" ref="G29">INDEX(_xlfn._xlws.FILTER(CapacityTable[], (CapacityTable[Model] = $B$28) * (CapacityTable[T ext] = $D29) * (CapacityTable[T water out] = $E$8) * (CapacityTable[Type] = $C$28) * (CapacityTable[Results origin] = "Simulation values") * (CapacityTable[Mode] = "Cooling"),Tableau2[]),1,7)</f>
        <v>2.467477401</v>
      </c>
      <c r="H29" s="93" cm="1">
        <f t="array" ref="H29">INDEX(_xlfn._xlws.FILTER(CapacityTable[], (CapacityTable[Model] = $B$28) * (CapacityTable[T ext] = $D29) * (CapacityTable[T water out] = $H$8) * (CapacityTable[Type] = $C$28) * (CapacityTable[Results origin] = "Simulation values") * (CapacityTable[Mode] = "Cooling"),Tableau2[]),1,5)</f>
        <v>8.9990096130000001</v>
      </c>
      <c r="I29" s="104" cm="1">
        <f t="array" ref="I29">INDEX(_xlfn._xlws.FILTER(CapacityTable[], (CapacityTable[Model] = $B$28) * (CapacityTable[T ext] = $D29) * (CapacityTable[T water out] = $H$8) * (CapacityTable[Type] = $C$28) * (CapacityTable[Results origin] = "Simulation values") * (CapacityTable[Mode] = "Cooling"),Tableau2[]),1,6)</f>
        <v>2.6644918505764394</v>
      </c>
      <c r="J29" s="99" cm="1">
        <f t="array" ref="J29">INDEX(_xlfn._xlws.FILTER(CapacityTable[], (CapacityTable[Model] = $B$28) * (CapacityTable[T ext] = $D29) * (CapacityTable[T water out] = $H$8) * (CapacityTable[Type] = $C$28) * (CapacityTable[Results origin] = "Simulation values") * (CapacityTable[Mode] = "Cooling"),Tableau2[]),1,7)</f>
        <v>3.3773830500000002</v>
      </c>
    </row>
    <row r="30" spans="1:11" x14ac:dyDescent="0.25">
      <c r="B30" s="277"/>
      <c r="C30" s="280"/>
      <c r="D30" s="113">
        <v>35</v>
      </c>
      <c r="E30" s="115" cm="1">
        <f t="array" ref="E30">INDEX(_xlfn._xlws.FILTER(CapacityTable[], (CapacityTable[Model] = $B$28) * (CapacityTable[T ext] = $D30) * (CapacityTable[T water out] = $E$8) * (CapacityTable[Type] = $C$28) * (CapacityTable[Results origin] = "Simulation values") * (CapacityTable[Mode] = "Cooling"),Tableau2[]),1,5)</f>
        <v>6.564014673</v>
      </c>
      <c r="F30" s="77" cm="1">
        <f t="array" ref="F30">INDEX(_xlfn._xlws.FILTER(CapacityTable[], (CapacityTable[Model] = $B$28) * (CapacityTable[T ext] = $D30) * (CapacityTable[T water out] = $E$8) * (CapacityTable[Type] = $C$28) * (CapacityTable[Results origin] = "Simulation values") * (CapacityTable[Mode] = "Cooling"),Tableau2[]),1,6)</f>
        <v>2.3563734657712776</v>
      </c>
      <c r="G30" s="78" cm="1">
        <f t="array" ref="G30">INDEX(_xlfn._xlws.FILTER(CapacityTable[], (CapacityTable[Model] = $B$28) * (CapacityTable[T ext] = $D30) * (CapacityTable[T water out] = $E$8) * (CapacityTable[Type] = $C$28) * (CapacityTable[Results origin] = "Simulation values") * (CapacityTable[Mode] = "Cooling"),Tableau2[]),1,7)</f>
        <v>2.785642755</v>
      </c>
      <c r="H30" s="75" cm="1">
        <f t="array" ref="H30">INDEX(_xlfn._xlws.FILTER(CapacityTable[], (CapacityTable[Model] = $B$28) * (CapacityTable[T ext] = $D30) * (CapacityTable[T water out] = $H$8) * (CapacityTable[Type] = $C$28) * (CapacityTable[Results origin] = "Simulation values") * (CapacityTable[Mode] = "Cooling"),Tableau2[]),1,5)</f>
        <v>9.1301788049999999</v>
      </c>
      <c r="I30" s="77" cm="1">
        <f t="array" ref="I30">INDEX(_xlfn._xlws.FILTER(CapacityTable[], (CapacityTable[Model] = $B$28) * (CapacityTable[T ext] = $D30) * (CapacityTable[T water out] = $H$8) * (CapacityTable[Type] = $C$28) * (CapacityTable[Results origin] = "Simulation values") * (CapacityTable[Mode] = "Cooling"),Tableau2[]),1,6)</f>
        <v>2.3510156256709265</v>
      </c>
      <c r="J30" s="78" cm="1">
        <f t="array" ref="J30">INDEX(_xlfn._xlws.FILTER(CapacityTable[], (CapacityTable[Model] = $B$28) * (CapacityTable[T ext] = $D30) * (CapacityTable[T water out] = $H$8) * (CapacityTable[Type] = $C$28) * (CapacityTable[Results origin] = "Simulation values") * (CapacityTable[Mode] = "Cooling"),Tableau2[]),1,7)</f>
        <v>3.883504093</v>
      </c>
    </row>
    <row r="31" spans="1:11" x14ac:dyDescent="0.25">
      <c r="B31" s="277"/>
      <c r="C31" s="280"/>
      <c r="D31" s="113">
        <v>30</v>
      </c>
      <c r="E31" s="115" cm="1">
        <f t="array" ref="E31">INDEX(_xlfn._xlws.FILTER(CapacityTable[], (CapacityTable[Model] = $B$28) * (CapacityTable[T ext] = $D31) * (CapacityTable[T water out] = $E$8) * (CapacityTable[Type] = $C$28) * (CapacityTable[Results origin] = "Simulation values") * (CapacityTable[Mode] = "Cooling"),Tableau2[]),1,5)</f>
        <v>6.9377085730000001</v>
      </c>
      <c r="F31" s="77" cm="1">
        <f t="array" ref="F31">INDEX(_xlfn._xlws.FILTER(CapacityTable[], (CapacityTable[Model] = $B$28) * (CapacityTable[T ext] = $D31) * (CapacityTable[T water out] = $E$8) * (CapacityTable[Type] = $C$28) * (CapacityTable[Results origin] = "Simulation values") * (CapacityTable[Mode] = "Cooling"),Tableau2[]),1,6)</f>
        <v>2.2024365712630587</v>
      </c>
      <c r="G31" s="78" cm="1">
        <f t="array" ref="G31">INDEX(_xlfn._xlws.FILTER(CapacityTable[], (CapacityTable[Model] = $B$28) * (CapacityTable[T ext] = $D31) * (CapacityTable[T water out] = $E$8) * (CapacityTable[Type] = $C$28) * (CapacityTable[Results origin] = "Simulation values") * (CapacityTable[Mode] = "Cooling"),Tableau2[]),1,7)</f>
        <v>3.150015153</v>
      </c>
      <c r="H31" s="75" cm="1">
        <f t="array" ref="H31">INDEX(_xlfn._xlws.FILTER(CapacityTable[], (CapacityTable[Model] = $B$28) * (CapacityTable[T ext] = $D31) * (CapacityTable[T water out] = $H$8) * (CapacityTable[Type] = $C$28) * (CapacityTable[Results origin] = "Simulation values") * (CapacityTable[Mode] = "Cooling"),Tableau2[]),1,5)</f>
        <v>9.104190452000001</v>
      </c>
      <c r="I31" s="77" cm="1">
        <f t="array" ref="I31">INDEX(_xlfn._xlws.FILTER(CapacityTable[], (CapacityTable[Model] = $B$28) * (CapacityTable[T ext] = $D31) * (CapacityTable[T water out] = $H$8) * (CapacityTable[Type] = $C$28) * (CapacityTable[Results origin] = "Simulation values") * (CapacityTable[Mode] = "Cooling"),Tableau2[]),1,6)</f>
        <v>2.0227904489763078</v>
      </c>
      <c r="J31" s="78" cm="1">
        <f t="array" ref="J31">INDEX(_xlfn._xlws.FILTER(CapacityTable[], (CapacityTable[Model] = $B$28) * (CapacityTable[T ext] = $D31) * (CapacityTable[T water out] = $H$8) * (CapacityTable[Type] = $C$28) * (CapacityTable[Results origin] = "Simulation values") * (CapacityTable[Mode] = "Cooling"),Tableau2[]),1,7)</f>
        <v>4.5008075139999999</v>
      </c>
    </row>
    <row r="32" spans="1:11" x14ac:dyDescent="0.25">
      <c r="B32" s="277"/>
      <c r="C32" s="280"/>
      <c r="D32" s="113">
        <v>25</v>
      </c>
      <c r="E32" s="115" cm="1">
        <f t="array" ref="E32">INDEX(_xlfn._xlws.FILTER(CapacityTable[], (CapacityTable[Model] = $B$28) * (CapacityTable[T ext] = $D32) * (CapacityTable[T water out] = $E$8) * (CapacityTable[Type] = $C$28) * (CapacityTable[Results origin] = "Simulation values") * (CapacityTable[Mode] = "Cooling"),Tableau2[]),1,5)</f>
        <v>7.2988749100000003</v>
      </c>
      <c r="F32" s="77" cm="1">
        <f t="array" ref="F32">INDEX(_xlfn._xlws.FILTER(CapacityTable[], (CapacityTable[Model] = $B$28) * (CapacityTable[T ext] = $D32) * (CapacityTable[T water out] = $E$8) * (CapacityTable[Type] = $C$28) * (CapacityTable[Results origin] = "Simulation values") * (CapacityTable[Mode] = "Cooling"),Tableau2[]),1,6)</f>
        <v>2.0533767356627131</v>
      </c>
      <c r="G32" s="78" cm="1">
        <f t="array" ref="G32">INDEX(_xlfn._xlws.FILTER(CapacityTable[], (CapacityTable[Model] = $B$28) * (CapacityTable[T ext] = $D32) * (CapacityTable[T water out] = $E$8) * (CapacityTable[Type] = $C$28) * (CapacityTable[Results origin] = "Simulation values") * (CapacityTable[Mode] = "Cooling"),Tableau2[]),1,7)</f>
        <v>3.5545717369999998</v>
      </c>
      <c r="H32" s="75" cm="1">
        <f t="array" ref="H32">INDEX(_xlfn._xlws.FILTER(CapacityTable[], (CapacityTable[Model] = $B$28) * (CapacityTable[T ext] = $D32) * (CapacityTable[T water out] = $H$8) * (CapacityTable[Type] = $C$28) * (CapacityTable[Results origin] = "Simulation values") * (CapacityTable[Mode] = "Cooling"),Tableau2[]),1,5)</f>
        <v>8.9483330960000007</v>
      </c>
      <c r="I32" s="77" cm="1">
        <f t="array" ref="I32">INDEX(_xlfn._xlws.FILTER(CapacityTable[], (CapacityTable[Model] = $B$28) * (CapacityTable[T ext] = $D32) * (CapacityTable[T water out] = $H$8) * (CapacityTable[Type] = $C$28) * (CapacityTable[Results origin] = "Simulation values") * (CapacityTable[Mode] = "Cooling"),Tableau2[]),1,6)</f>
        <v>1.7008673094113438</v>
      </c>
      <c r="J32" s="78" cm="1">
        <f t="array" ref="J32">INDEX(_xlfn._xlws.FILTER(CapacityTable[], (CapacityTable[Model] = $B$28) * (CapacityTable[T ext] = $D32) * (CapacityTable[T water out] = $H$8) * (CapacityTable[Type] = $C$28) * (CapacityTable[Results origin] = "Simulation values") * (CapacityTable[Mode] = "Cooling"),Tableau2[]),1,7)</f>
        <v>5.261041262</v>
      </c>
    </row>
    <row r="33" spans="2:10" ht="15.75" thickBot="1" x14ac:dyDescent="0.3">
      <c r="B33" s="277"/>
      <c r="C33" s="281"/>
      <c r="D33" s="114">
        <v>20</v>
      </c>
      <c r="E33" s="116" cm="1">
        <f t="array" ref="E33">INDEX(_xlfn._xlws.FILTER(CapacityTable[], (CapacityTable[Model] = $B$28) * (CapacityTable[T ext] = $D33) * (CapacityTable[T water out] = $E$8) * (CapacityTable[Type] = $C$28) * (CapacityTable[Results origin] = "Simulation values") * (CapacityTable[Mode] = "Cooling"),Tableau2[]),1,5)</f>
        <v>7.6668770409999993</v>
      </c>
      <c r="F33" s="79" cm="1">
        <f t="array" ref="F33">INDEX(_xlfn._xlws.FILTER(CapacityTable[], (CapacityTable[Model] = $B$28) * (CapacityTable[T ext] = $D33) * (CapacityTable[T water out] = $E$8) * (CapacityTable[Type] = $C$28) * (CapacityTable[Results origin] = "Simulation values") * (CapacityTable[Mode] = "Cooling"),Tableau2[]),1,6)</f>
        <v>1.9064360082869065</v>
      </c>
      <c r="G33" s="80" cm="1">
        <f t="array" ref="G33">INDEX(_xlfn._xlws.FILTER(CapacityTable[], (CapacityTable[Model] = $B$28) * (CapacityTable[T ext] = $D33) * (CapacityTable[T water out] = $E$8) * (CapacityTable[Type] = $C$28) * (CapacityTable[Results origin] = "Simulation values") * (CapacityTable[Mode] = "Cooling"),Tableau2[]),1,7)</f>
        <v>4.0215758660000001</v>
      </c>
      <c r="H33" s="76" cm="1">
        <f t="array" ref="H33">INDEX(_xlfn._xlws.FILTER(CapacityTable[], (CapacityTable[Model] = $B$28) * (CapacityTable[T ext] = $D33) * (CapacityTable[T water out] = $H$8) * (CapacityTable[Type] = $C$28) * (CapacityTable[Results origin] = "Simulation values") * (CapacityTable[Mode] = "Cooling"),Tableau2[]),1,5)</f>
        <v>8.780449162</v>
      </c>
      <c r="I33" s="79" cm="1">
        <f t="array" ref="I33">INDEX(_xlfn._xlws.FILTER(CapacityTable[], (CapacityTable[Model] = $B$28) * (CapacityTable[T ext] = $D33) * (CapacityTable[T water out] = $H$8) * (CapacityTable[Type] = $C$28) * (CapacityTable[Results origin] = "Simulation values") * (CapacityTable[Mode] = "Cooling"),Tableau2[]),1,6)</f>
        <v>1.4201289226135674</v>
      </c>
      <c r="J33" s="80" cm="1">
        <f t="array" ref="J33">INDEX(_xlfn._xlws.FILTER(CapacityTable[], (CapacityTable[Model] = $B$28) * (CapacityTable[T ext] = $D33) * (CapacityTable[T water out] = $H$8) * (CapacityTable[Type] = $C$28) * (CapacityTable[Results origin] = "Simulation values") * (CapacityTable[Mode] = "Cooling"),Tableau2[]),1,7)</f>
        <v>6.1828535579999997</v>
      </c>
    </row>
    <row r="34" spans="2:10" x14ac:dyDescent="0.25">
      <c r="B34" s="277"/>
      <c r="C34" s="282" t="s">
        <v>156</v>
      </c>
      <c r="D34" s="122">
        <v>45</v>
      </c>
      <c r="E34" s="182" cm="1">
        <f t="array" ref="E34">INDEX(_xlfn._xlws.FILTER(CapacityTable[], (CapacityTable[Model] = $B$28) * (CapacityTable[T ext] = $D34) * (CapacityTable[T water out] = $E$8) * (CapacityTable[Type] = $C$34) * (CapacityTable[Results origin] = "Simulation values") * (CapacityTable[Mode] = "Cooling"),Tableau2[]),1,5)</f>
        <v>2.2621979219999999</v>
      </c>
      <c r="F34" s="183" cm="1">
        <f t="array" ref="F34">INDEX(_xlfn._xlws.FILTER(CapacityTable[], (CapacityTable[Model] = $B$28) * (CapacityTable[T ext] = $D34) * (CapacityTable[T water out] = $E$8) * (CapacityTable[Type] = $C$34) * (CapacityTable[Results origin] = "Simulation values") * (CapacityTable[Mode] = "Cooling"),Tableau2[]),1,6)</f>
        <v>0.8315292679363504</v>
      </c>
      <c r="G34" s="184" cm="1">
        <f t="array" ref="G34">INDEX(_xlfn._xlws.FILTER(CapacityTable[], (CapacityTable[Model] = $B$28) * (CapacityTable[T ext] = $D34) * (CapacityTable[T water out] = $E$8) * (CapacityTable[Type] = $C$34) * (CapacityTable[Results origin] = "Simulation values") * (CapacityTable[Mode] = "Cooling"),Tableau2[]),1,7)</f>
        <v>2.7205271170000001</v>
      </c>
      <c r="H34" s="185" cm="1">
        <f t="array" ref="H34">INDEX(_xlfn._xlws.FILTER(CapacityTable[], (CapacityTable[Model] = $B$28) * (CapacityTable[T ext] = $D34) * (CapacityTable[T water out] = $H$8) * (CapacityTable[Type] = $C$34) * (CapacityTable[Results origin] = "Simulation values") * (CapacityTable[Mode] = "Cooling"),Tableau2[]),1,5)</f>
        <v>2.1655445009999998</v>
      </c>
      <c r="I34" s="183" cm="1">
        <f t="array" ref="I34">INDEX(_xlfn._xlws.FILTER(CapacityTable[], (CapacityTable[Model] = $B$28) * (CapacityTable[T ext] = $D34) * (CapacityTable[T water out] = $H$8) * (CapacityTable[Type] = $C$34) * (CapacityTable[Results origin] = "Simulation values") * (CapacityTable[Mode] = "Cooling"),Tableau2[]),1,6)</f>
        <v>0.27980813470722693</v>
      </c>
      <c r="J34" s="184" cm="1">
        <f t="array" ref="J34">INDEX(_xlfn._xlws.FILTER(CapacityTable[], (CapacityTable[Model] = $B$28) * (CapacityTable[T ext] = $D34) * (CapacityTable[T water out] = $H$8) * (CapacityTable[Type] = $C$34) * (CapacityTable[Results origin] = "Simulation values") * (CapacityTable[Mode] = "Cooling"),Tableau2[]),1,7)</f>
        <v>7.7393907909999999</v>
      </c>
    </row>
    <row r="35" spans="2:10" x14ac:dyDescent="0.25">
      <c r="B35" s="277"/>
      <c r="C35" s="279"/>
      <c r="D35" s="112">
        <v>40</v>
      </c>
      <c r="E35" s="117" cm="1">
        <f t="array" ref="E35">INDEX(_xlfn._xlws.FILTER(CapacityTable[], (CapacityTable[Model] = $B$28) * (CapacityTable[T ext] = $D35) * (CapacityTable[T water out] = $E$8) * (CapacityTable[Type] = $C$34) * (CapacityTable[Results origin] = "Simulation values") * (CapacityTable[Mode] = "Cooling"),Tableau2[]),1,5)</f>
        <v>2.3149160980000003</v>
      </c>
      <c r="F35" s="104" cm="1">
        <f t="array" ref="F35">INDEX(_xlfn._xlws.FILTER(CapacityTable[], (CapacityTable[Model] = $B$28) * (CapacityTable[T ext] = $D35) * (CapacityTable[T water out] = $E$8) * (CapacityTable[Type] = $C$34) * (CapacityTable[Results origin] = "Simulation values") * (CapacityTable[Mode] = "Cooling"),Tableau2[]),1,6)</f>
        <v>0.78774882959667825</v>
      </c>
      <c r="G35" s="99" cm="1">
        <f t="array" ref="G35">INDEX(_xlfn._xlws.FILTER(CapacityTable[], (CapacityTable[Model] = $B$28) * (CapacityTable[T ext] = $D35) * (CapacityTable[T water out] = $E$8) * (CapacityTable[Type] = $C$34) * (CapacityTable[Results origin] = "Simulation values") * (CapacityTable[Mode] = "Cooling"),Tableau2[]),1,7)</f>
        <v>2.938647461</v>
      </c>
      <c r="H35" s="93" cm="1">
        <f t="array" ref="H35">INDEX(_xlfn._xlws.FILTER(CapacityTable[], (CapacityTable[Model] = $B$28) * (CapacityTable[T ext] = $D35) * (CapacityTable[T water out] = $H$8) * (CapacityTable[Type] = $C$34) * (CapacityTable[Results origin] = "Simulation values") * (CapacityTable[Mode] = "Cooling"),Tableau2[]),1,5)</f>
        <v>1.7684345510000001</v>
      </c>
      <c r="I35" s="104" cm="1">
        <f t="array" ref="I35">INDEX(_xlfn._xlws.FILTER(CapacityTable[], (CapacityTable[Model] = $B$28) * (CapacityTable[T ext] = $D35) * (CapacityTable[T water out] = $H$8) * (CapacityTable[Type] = $C$34) * (CapacityTable[Results origin] = "Simulation values") * (CapacityTable[Mode] = "Cooling"),Tableau2[]),1,6)</f>
        <v>0.45490294116269869</v>
      </c>
      <c r="J35" s="99" cm="1">
        <f t="array" ref="J35">INDEX(_xlfn._xlws.FILTER(CapacityTable[], (CapacityTable[Model] = $B$28) * (CapacityTable[T ext] = $D35) * (CapacityTable[T water out] = $H$8) * (CapacityTable[Type] = $C$34) * (CapacityTable[Results origin] = "Simulation values") * (CapacityTable[Mode] = "Cooling"),Tableau2[]),1,7)</f>
        <v>3.8874986090000001</v>
      </c>
    </row>
    <row r="36" spans="2:10" x14ac:dyDescent="0.25">
      <c r="B36" s="277"/>
      <c r="C36" s="280"/>
      <c r="D36" s="113">
        <v>35</v>
      </c>
      <c r="E36" s="115" cm="1">
        <f t="array" ref="E36">INDEX(_xlfn._xlws.FILTER(CapacityTable[], (CapacityTable[Model] = $B$28) * (CapacityTable[T ext] = $D36) * (CapacityTable[T water out] = $E$8) * (CapacityTable[Type] = $C$34) * (CapacityTable[Results origin] = "Simulation values") * (CapacityTable[Mode] = "Cooling"),Tableau2[]),1,5)</f>
        <v>2.4240047140000001</v>
      </c>
      <c r="F36" s="77" cm="1">
        <f t="array" ref="F36">INDEX(_xlfn._xlws.FILTER(CapacityTable[], (CapacityTable[Model] = $B$28) * (CapacityTable[T ext] = $D36) * (CapacityTable[T water out] = $E$8) * (CapacityTable[Type] = $C$34) * (CapacityTable[Results origin] = "Simulation values") * (CapacityTable[Mode] = "Cooling"),Tableau2[]),1,6)</f>
        <v>0.72535384337478326</v>
      </c>
      <c r="G36" s="78" cm="1">
        <f t="array" ref="G36">INDEX(_xlfn._xlws.FILTER(CapacityTable[], (CapacityTable[Model] = $B$28) * (CapacityTable[T ext] = $D36) * (CapacityTable[T water out] = $E$8) * (CapacityTable[Type] = $C$34) * (CapacityTable[Results origin] = "Simulation values") * (CapacityTable[Mode] = "Cooling"),Tableau2[]),1,7)</f>
        <v>3.3418237679999998</v>
      </c>
      <c r="H36" s="75" cm="1">
        <f t="array" ref="H36">INDEX(_xlfn._xlws.FILTER(CapacityTable[], (CapacityTable[Model] = $B$28) * (CapacityTable[T ext] = $D36) * (CapacityTable[T water out] = $H$8) * (CapacityTable[Type] = $C$34) * (CapacityTable[Results origin] = "Simulation values") * (CapacityTable[Mode] = "Cooling"),Tableau2[]),1,5)</f>
        <v>2.5897274280000002</v>
      </c>
      <c r="I36" s="77" cm="1">
        <f t="array" ref="I36">INDEX(_xlfn._xlws.FILTER(CapacityTable[], (CapacityTable[Model] = $B$28) * (CapacityTable[T ext] = $D36) * (CapacityTable[T water out] = $H$8) * (CapacityTable[Type] = $C$34) * (CapacityTable[Results origin] = "Simulation values") * (CapacityTable[Mode] = "Cooling"),Tableau2[]),1,6)</f>
        <v>0.61676226979168181</v>
      </c>
      <c r="J36" s="78" cm="1">
        <f t="array" ref="J36">INDEX(_xlfn._xlws.FILTER(CapacityTable[], (CapacityTable[Model] = $B$28) * (CapacityTable[T ext] = $D36) * (CapacityTable[T water out] = $H$8) * (CapacityTable[Type] = $C$34) * (CapacityTable[Results origin] = "Simulation values") * (CapacityTable[Mode] = "Cooling"),Tableau2[]),1,7)</f>
        <v>4.1989070259999997</v>
      </c>
    </row>
    <row r="37" spans="2:10" x14ac:dyDescent="0.25">
      <c r="B37" s="277"/>
      <c r="C37" s="280"/>
      <c r="D37" s="113">
        <v>30</v>
      </c>
      <c r="E37" s="115" cm="1">
        <f t="array" ref="E37">INDEX(_xlfn._xlws.FILTER(CapacityTable[], (CapacityTable[Model] = $B$28) * (CapacityTable[T ext] = $D37) * (CapacityTable[T water out] = $E$8) * (CapacityTable[Type] = $C$34) * (CapacityTable[Results origin] = "Simulation values") * (CapacityTable[Mode] = "Cooling"),Tableau2[]),1,5)</f>
        <v>2.5314232000000003</v>
      </c>
      <c r="F37" s="77" cm="1">
        <f t="array" ref="F37">INDEX(_xlfn._xlws.FILTER(CapacityTable[], (CapacityTable[Model] = $B$28) * (CapacityTable[T ext] = $D37) * (CapacityTable[T water out] = $E$8) * (CapacityTable[Type] = $C$34) * (CapacityTable[Results origin] = "Simulation values") * (CapacityTable[Mode] = "Cooling"),Tableau2[]),1,6)</f>
        <v>0.66618389680925905</v>
      </c>
      <c r="G37" s="78" cm="1">
        <f t="array" ref="G37">INDEX(_xlfn._xlws.FILTER(CapacityTable[], (CapacityTable[Model] = $B$28) * (CapacityTable[T ext] = $D37) * (CapacityTable[T water out] = $E$8) * (CapacityTable[Type] = $C$34) * (CapacityTable[Results origin] = "Simulation values") * (CapacityTable[Mode] = "Cooling"),Tableau2[]),1,7)</f>
        <v>3.799886506</v>
      </c>
      <c r="H37" s="75" cm="1">
        <f t="array" ref="H37">INDEX(_xlfn._xlws.FILTER(CapacityTable[], (CapacityTable[Model] = $B$28) * (CapacityTable[T ext] = $D37) * (CapacityTable[T water out] = $H$8) * (CapacityTable[Type] = $C$34) * (CapacityTable[Results origin] = "Simulation values") * (CapacityTable[Mode] = "Cooling"),Tableau2[]),1,5)</f>
        <v>2.7111566950000001</v>
      </c>
      <c r="I37" s="77" cm="1">
        <f t="array" ref="I37">INDEX(_xlfn._xlws.FILTER(CapacityTable[], (CapacityTable[Model] = $B$28) * (CapacityTable[T ext] = $D37) * (CapacityTable[T water out] = $H$8) * (CapacityTable[Type] = $C$34) * (CapacityTable[Results origin] = "Simulation values") * (CapacityTable[Mode] = "Cooling"),Tableau2[]),1,6)</f>
        <v>0.56054327187566055</v>
      </c>
      <c r="J37" s="78" cm="1">
        <f t="array" ref="J37">INDEX(_xlfn._xlws.FILTER(CapacityTable[], (CapacityTable[Model] = $B$28) * (CapacityTable[T ext] = $D37) * (CapacityTable[T water out] = $H$8) * (CapacityTable[Type] = $C$34) * (CapacityTable[Results origin] = "Simulation values") * (CapacityTable[Mode] = "Cooling"),Tableau2[]),1,7)</f>
        <v>4.8366590609999998</v>
      </c>
    </row>
    <row r="38" spans="2:10" x14ac:dyDescent="0.25">
      <c r="B38" s="277"/>
      <c r="C38" s="280"/>
      <c r="D38" s="113">
        <v>25</v>
      </c>
      <c r="E38" s="115" cm="1">
        <f t="array" ref="E38">INDEX(_xlfn._xlws.FILTER(CapacityTable[], (CapacityTable[Model] = $B$28) * (CapacityTable[T ext] = $D38) * (CapacityTable[T water out] = $E$8) * (CapacityTable[Type] = $C$34) * (CapacityTable[Results origin] = "Simulation values") * (CapacityTable[Mode] = "Cooling"),Tableau2[]),1,5)</f>
        <v>2.6431102860000002</v>
      </c>
      <c r="F38" s="77" cm="1">
        <f t="array" ref="F38">INDEX(_xlfn._xlws.FILTER(CapacityTable[], (CapacityTable[Model] = $B$28) * (CapacityTable[T ext] = $D38) * (CapacityTable[T water out] = $E$8) * (CapacityTable[Type] = $C$34) * (CapacityTable[Results origin] = "Simulation values") * (CapacityTable[Mode] = "Cooling"),Tableau2[]),1,6)</f>
        <v>0.60856074800725646</v>
      </c>
      <c r="G38" s="78" cm="1">
        <f t="array" ref="G38">INDEX(_xlfn._xlws.FILTER(CapacityTable[], (CapacityTable[Model] = $B$28) * (CapacityTable[T ext] = $D38) * (CapacityTable[T water out] = $E$8) * (CapacityTable[Type] = $C$34) * (CapacityTable[Results origin] = "Simulation values") * (CapacityTable[Mode] = "Cooling"),Tableau2[]),1,7)</f>
        <v>4.3432151919999997</v>
      </c>
      <c r="H38" s="75" cm="1">
        <f t="array" ref="H38">INDEX(_xlfn._xlws.FILTER(CapacityTable[], (CapacityTable[Model] = $B$28) * (CapacityTable[T ext] = $D38) * (CapacityTable[T water out] = $H$8) * (CapacityTable[Type] = $C$34) * (CapacityTable[Results origin] = "Simulation values") * (CapacityTable[Mode] = "Cooling"),Tableau2[]),1,5)</f>
        <v>2.8328991019999998</v>
      </c>
      <c r="I38" s="77" cm="1">
        <f t="array" ref="I38">INDEX(_xlfn._xlws.FILTER(CapacityTable[], (CapacityTable[Model] = $B$28) * (CapacityTable[T ext] = $D38) * (CapacityTable[T water out] = $H$8) * (CapacityTable[Type] = $C$34) * (CapacityTable[Results origin] = "Simulation values") * (CapacityTable[Mode] = "Cooling"),Tableau2[]),1,6)</f>
        <v>0.50755668182024993</v>
      </c>
      <c r="J38" s="78" cm="1">
        <f t="array" ref="J38">INDEX(_xlfn._xlws.FILTER(CapacityTable[], (CapacityTable[Model] = $B$28) * (CapacityTable[T ext] = $D38) * (CapacityTable[T water out] = $H$8) * (CapacityTable[Type] = $C$34) * (CapacityTable[Results origin] = "Simulation values") * (CapacityTable[Mode] = "Cooling"),Tableau2[]),1,7)</f>
        <v>5.581443814</v>
      </c>
    </row>
    <row r="39" spans="2:10" ht="15.75" thickBot="1" x14ac:dyDescent="0.3">
      <c r="B39" s="277"/>
      <c r="C39" s="281"/>
      <c r="D39" s="114">
        <v>20</v>
      </c>
      <c r="E39" s="116" cm="1">
        <f t="array" ref="E39">INDEX(_xlfn._xlws.FILTER(CapacityTable[], (CapacityTable[Model] = $B$28) * (CapacityTable[T ext] = $D39) * (CapacityTable[T water out] = $E$8) * (CapacityTable[Type] = $C$34) * (CapacityTable[Results origin] = "Simulation values") * (CapacityTable[Mode] = "Cooling"),Tableau2[]),1,5)</f>
        <v>2.7656620050000003</v>
      </c>
      <c r="F39" s="79" cm="1">
        <f t="array" ref="F39">INDEX(_xlfn._xlws.FILTER(CapacityTable[], (CapacityTable[Model] = $B$28) * (CapacityTable[T ext] = $D39) * (CapacityTable[T water out] = $E$8) * (CapacityTable[Type] = $C$34) * (CapacityTable[Results origin] = "Simulation values") * (CapacityTable[Mode] = "Cooling"),Tableau2[]),1,6)</f>
        <v>0.55085817684727445</v>
      </c>
      <c r="G39" s="80" cm="1">
        <f t="array" ref="G39">INDEX(_xlfn._xlws.FILTER(CapacityTable[], (CapacityTable[Model] = $B$28) * (CapacityTable[T ext] = $D39) * (CapacityTable[T water out] = $E$8) * (CapacityTable[Type] = $C$34) * (CapacityTable[Results origin] = "Simulation values") * (CapacityTable[Mode] = "Cooling"),Tableau2[]),1,7)</f>
        <v>5.0206425560000003</v>
      </c>
      <c r="H39" s="76" cm="1">
        <f t="array" ref="H39">INDEX(_xlfn._xlws.FILTER(CapacityTable[], (CapacityTable[Model] = $B$28) * (CapacityTable[T ext] = $D39) * (CapacityTable[T water out] = $H$8) * (CapacityTable[Type] = $C$34) * (CapacityTable[Results origin] = "Simulation values") * (CapacityTable[Mode] = "Cooling"),Tableau2[]),1,5)</f>
        <v>2.0650186779999999</v>
      </c>
      <c r="I39" s="79" cm="1">
        <f t="array" ref="I39">INDEX(_xlfn._xlws.FILTER(CapacityTable[], (CapacityTable[Model] = $B$28) * (CapacityTable[T ext] = $D39) * (CapacityTable[T water out] = $H$8) * (CapacityTable[Type] = $C$34) * (CapacityTable[Results origin] = "Simulation values") * (CapacityTable[Mode] = "Cooling"),Tableau2[]),1,6)</f>
        <v>0.31719889359863868</v>
      </c>
      <c r="J39" s="80" cm="1">
        <f t="array" ref="J39">INDEX(_xlfn._xlws.FILTER(CapacityTable[], (CapacityTable[Model] = $B$28) * (CapacityTable[T ext] = $D39) * (CapacityTable[T water out] = $H$8) * (CapacityTable[Type] = $C$34) * (CapacityTable[Results origin] = "Simulation values") * (CapacityTable[Mode] = "Cooling"),Tableau2[]),1,7)</f>
        <v>6.5101698639999999</v>
      </c>
    </row>
    <row r="40" spans="2:10" x14ac:dyDescent="0.25">
      <c r="B40" s="277"/>
      <c r="C40" s="282" t="s">
        <v>166</v>
      </c>
      <c r="D40" s="122">
        <v>45</v>
      </c>
      <c r="E40" s="182" cm="1">
        <f t="array" ref="E40">INDEX(_xlfn._xlws.FILTER(CapacityTable[], (CapacityTable[Model] = $B$28) * (CapacityTable[T ext] = $D40) * (CapacityTable[T water out] = $E$8) * (CapacityTable[Type] = $C$40) * (CapacityTable[Results origin] = "Simulation values") * (CapacityTable[Mode] = "Cooling"),Tableau2[]),1,5)</f>
        <v>1.2243290260000002</v>
      </c>
      <c r="F40" s="183" cm="1">
        <f t="array" ref="F40">INDEX(_xlfn._xlws.FILTER(CapacityTable[], (CapacityTable[Model] = $B$28) * (CapacityTable[T ext] = $D40) * (CapacityTable[T water out] = $E$8) * (CapacityTable[Type] = $C$40) * (CapacityTable[Results origin] = "Simulation values") * (CapacityTable[Mode] = "Cooling"),Tableau2[]),1,6)</f>
        <v>0.45504817014650156</v>
      </c>
      <c r="G40" s="184" cm="1">
        <f t="array" ref="G40">INDEX(_xlfn._xlws.FILTER(CapacityTable[], (CapacityTable[Model] = $B$28) * (CapacityTable[T ext] = $D40) * (CapacityTable[T water out] = $E$8) * (CapacityTable[Type] = $C$40) * (CapacityTable[Results origin] = "Simulation values") * (CapacityTable[Mode] = "Cooling"),Tableau2[]),1,7)</f>
        <v>2.69054818</v>
      </c>
      <c r="H40" s="185" cm="1">
        <f t="array" ref="H40">INDEX(_xlfn._xlws.FILTER(CapacityTable[], (CapacityTable[Model] = $B$28) * (CapacityTable[T ext] = $D40) * (CapacityTable[T water out] = $H$8) * (CapacityTable[Type] = $C$40) * (CapacityTable[Results origin] = "Simulation values") * (CapacityTable[Mode] = "Cooling"),Tableau2[]),1,5)</f>
        <v>1.7684345510000001</v>
      </c>
      <c r="I40" s="183" cm="1">
        <f t="array" ref="I40">INDEX(_xlfn._xlws.FILTER(CapacityTable[], (CapacityTable[Model] = $B$28) * (CapacityTable[T ext] = $D40) * (CapacityTable[T water out] = $H$8) * (CapacityTable[Type] = $C$40) * (CapacityTable[Results origin] = "Simulation values") * (CapacityTable[Mode] = "Cooling"),Tableau2[]),1,6)</f>
        <v>0.45490294116269869</v>
      </c>
      <c r="J40" s="184" cm="1">
        <f t="array" ref="J40">INDEX(_xlfn._xlws.FILTER(CapacityTable[], (CapacityTable[Model] = $B$28) * (CapacityTable[T ext] = $D40) * (CapacityTable[T water out] = $H$8) * (CapacityTable[Type] = $C$40) * (CapacityTable[Results origin] = "Simulation values") * (CapacityTable[Mode] = "Cooling"),Tableau2[]),1,7)</f>
        <v>3.8874986090000001</v>
      </c>
    </row>
    <row r="41" spans="2:10" x14ac:dyDescent="0.25">
      <c r="B41" s="277"/>
      <c r="C41" s="279"/>
      <c r="D41" s="112">
        <v>40</v>
      </c>
      <c r="E41" s="117" cm="1">
        <f t="array" ref="E41">INDEX(_xlfn._xlws.FILTER(CapacityTable[], (CapacityTable[Model] = $B$28) * (CapacityTable[T ext] = $D41) * (CapacityTable[T water out] = $E$8) * (CapacityTable[Type] = $C$40) * (CapacityTable[Results origin] = "Simulation values") * (CapacityTable[Mode] = "Cooling"),Tableau2[]),1,5)</f>
        <v>1.2451865019999999</v>
      </c>
      <c r="F41" s="104" cm="1">
        <f t="array" ref="F41">INDEX(_xlfn._xlws.FILTER(CapacityTable[], (CapacityTable[Model] = $B$28) * (CapacityTable[T ext] = $D41) * (CapacityTable[T water out] = $E$8) * (CapacityTable[Type] = $C$40) * (CapacityTable[Results origin] = "Simulation values") * (CapacityTable[Mode] = "Cooling"),Tableau2[]),1,6)</f>
        <v>0.44200022807487399</v>
      </c>
      <c r="G41" s="99" cm="1">
        <f t="array" ref="G41">INDEX(_xlfn._xlws.FILTER(CapacityTable[], (CapacityTable[Model] = $B$28) * (CapacityTable[T ext] = $D41) * (CapacityTable[T water out] = $E$8) * (CapacityTable[Type] = $C$40) * (CapacityTable[Results origin] = "Simulation values") * (CapacityTable[Mode] = "Cooling"),Tableau2[]),1,7)</f>
        <v>2.817162578</v>
      </c>
      <c r="H41" s="93" cm="1">
        <f t="array" ref="H41">INDEX(_xlfn._xlws.FILTER(CapacityTable[], (CapacityTable[Model] = $B$28) * (CapacityTable[T ext] = $D41) * (CapacityTable[T water out] = $H$8) * (CapacityTable[Type] = $C$40) * (CapacityTable[Results origin] = "Simulation values") * (CapacityTable[Mode] = "Cooling"),Tableau2[]),1,5)</f>
        <v>1.8049784400000002</v>
      </c>
      <c r="I41" s="104" cm="1">
        <f t="array" ref="I41">INDEX(_xlfn._xlws.FILTER(CapacityTable[], (CapacityTable[Model] = $B$28) * (CapacityTable[T ext] = $D41) * (CapacityTable[T water out] = $H$8) * (CapacityTable[Type] = $C$40) * (CapacityTable[Results origin] = "Simulation values") * (CapacityTable[Mode] = "Cooling"),Tableau2[]),1,6)</f>
        <v>0.4322764167963411</v>
      </c>
      <c r="J41" s="99" cm="1">
        <f t="array" ref="J41">INDEX(_xlfn._xlws.FILTER(CapacityTable[], (CapacityTable[Model] = $B$28) * (CapacityTable[T ext] = $D41) * (CapacityTable[T water out] = $H$8) * (CapacityTable[Type] = $C$40) * (CapacityTable[Results origin] = "Simulation values") * (CapacityTable[Mode] = "Cooling"),Tableau2[]),1,7)</f>
        <v>4.1755191119999999</v>
      </c>
    </row>
    <row r="42" spans="2:10" x14ac:dyDescent="0.25">
      <c r="B42" s="277"/>
      <c r="C42" s="280"/>
      <c r="D42" s="113">
        <v>35</v>
      </c>
      <c r="E42" s="115" cm="1">
        <f t="array" ref="E42">INDEX(_xlfn._xlws.FILTER(CapacityTable[], (CapacityTable[Model] = $B$28) * (CapacityTable[T ext] = $D42) * (CapacityTable[T water out] = $E$8) * (CapacityTable[Type] = $C$40) * (CapacityTable[Results origin] = "Simulation values") * (CapacityTable[Mode] = "Cooling"),Tableau2[]),1,5)</f>
        <v>1.29757751</v>
      </c>
      <c r="F42" s="77" cm="1">
        <f t="array" ref="F42">INDEX(_xlfn._xlws.FILTER(CapacityTable[], (CapacityTable[Model] = $B$28) * (CapacityTable[T ext] = $D42) * (CapacityTable[T water out] = $E$8) * (CapacityTable[Type] = $C$40) * (CapacityTable[Results origin] = "Simulation values") * (CapacityTable[Mode] = "Cooling"),Tableau2[]),1,6)</f>
        <v>0.40526851087074045</v>
      </c>
      <c r="G42" s="78" cm="1">
        <f t="array" ref="G42">INDEX(_xlfn._xlws.FILTER(CapacityTable[], (CapacityTable[Model] = $B$28) * (CapacityTable[T ext] = $D42) * (CapacityTable[T water out] = $E$8) * (CapacityTable[Type] = $C$40) * (CapacityTable[Results origin] = "Simulation values") * (CapacityTable[Mode] = "Cooling"),Tableau2[]),1,7)</f>
        <v>3.2017723440000001</v>
      </c>
      <c r="H42" s="75" cm="1">
        <f t="array" ref="H42">INDEX(_xlfn._xlws.FILTER(CapacityTable[], (CapacityTable[Model] = $B$28) * (CapacityTable[T ext] = $D42) * (CapacityTable[T water out] = $H$8) * (CapacityTable[Type] = $C$40) * (CapacityTable[Results origin] = "Simulation values") * (CapacityTable[Mode] = "Cooling"),Tableau2[]),1,5)</f>
        <v>1.888545205</v>
      </c>
      <c r="I42" s="77" cm="1">
        <f t="array" ref="I42">INDEX(_xlfn._xlws.FILTER(CapacityTable[], (CapacityTable[Model] = $B$28) * (CapacityTable[T ext] = $D42) * (CapacityTable[T water out] = $H$8) * (CapacityTable[Type] = $C$40) * (CapacityTable[Results origin] = "Simulation values") * (CapacityTable[Mode] = "Cooling"),Tableau2[]),1,6)</f>
        <v>0.39197176081277096</v>
      </c>
      <c r="J42" s="78" cm="1">
        <f t="array" ref="J42">INDEX(_xlfn._xlws.FILTER(CapacityTable[], (CapacityTable[Model] = $B$28) * (CapacityTable[T ext] = $D42) * (CapacityTable[T water out] = $H$8) * (CapacityTable[Type] = $C$40) * (CapacityTable[Results origin] = "Simulation values") * (CapacityTable[Mode] = "Cooling"),Tableau2[]),1,7)</f>
        <v>4.8180644470000002</v>
      </c>
    </row>
    <row r="43" spans="2:10" x14ac:dyDescent="0.25">
      <c r="B43" s="277"/>
      <c r="C43" s="280"/>
      <c r="D43" s="113">
        <v>30</v>
      </c>
      <c r="E43" s="115" cm="1">
        <f t="array" ref="E43">INDEX(_xlfn._xlws.FILTER(CapacityTable[], (CapacityTable[Model] = $B$28) * (CapacityTable[T ext] = $D43) * (CapacityTable[T water out] = $E$8) * (CapacityTable[Type] = $C$40) * (CapacityTable[Results origin] = "Simulation values") * (CapacityTable[Mode] = "Cooling"),Tableau2[]),1,5)</f>
        <v>1.352173683</v>
      </c>
      <c r="F43" s="77" cm="1">
        <f t="array" ref="F43">INDEX(_xlfn._xlws.FILTER(CapacityTable[], (CapacityTable[Model] = $B$28) * (CapacityTable[T ext] = $D43) * (CapacityTable[T water out] = $E$8) * (CapacityTable[Type] = $C$40) * (CapacityTable[Results origin] = "Simulation values") * (CapacityTable[Mode] = "Cooling"),Tableau2[]),1,6)</f>
        <v>0.37066943835578542</v>
      </c>
      <c r="G43" s="78" cm="1">
        <f t="array" ref="G43">INDEX(_xlfn._xlws.FILTER(CapacityTable[], (CapacityTable[Model] = $B$28) * (CapacityTable[T ext] = $D43) * (CapacityTable[T water out] = $E$8) * (CapacityTable[Type] = $C$40) * (CapacityTable[Results origin] = "Simulation values") * (CapacityTable[Mode] = "Cooling"),Tableau2[]),1,7)</f>
        <v>3.647923306</v>
      </c>
      <c r="H43" s="75" cm="1">
        <f t="array" ref="H43">INDEX(_xlfn._xlws.FILTER(CapacityTable[], (CapacityTable[Model] = $B$28) * (CapacityTable[T ext] = $D43) * (CapacityTable[T water out] = $H$8) * (CapacityTable[Type] = $C$40) * (CapacityTable[Results origin] = "Simulation values") * (CapacityTable[Mode] = "Cooling"),Tableau2[]),1,5)</f>
        <v>1.973965956</v>
      </c>
      <c r="I43" s="77" cm="1">
        <f t="array" ref="I43">INDEX(_xlfn._xlws.FILTER(CapacityTable[], (CapacityTable[Model] = $B$28) * (CapacityTable[T ext] = $D43) * (CapacityTable[T water out] = $H$8) * (CapacityTable[Type] = $C$40) * (CapacityTable[Results origin] = "Simulation values") * (CapacityTable[Mode] = "Cooling"),Tableau2[]),1,6)</f>
        <v>0.35411327363234091</v>
      </c>
      <c r="J43" s="78" cm="1">
        <f t="array" ref="J43">INDEX(_xlfn._xlws.FILTER(CapacityTable[], (CapacityTable[Model] = $B$28) * (CapacityTable[T ext] = $D43) * (CapacityTable[T water out] = $H$8) * (CapacityTable[Type] = $C$40) * (CapacityTable[Results origin] = "Simulation values") * (CapacityTable[Mode] = "Cooling"),Tableau2[]),1,7)</f>
        <v>5.5743913120000004</v>
      </c>
    </row>
    <row r="44" spans="2:10" x14ac:dyDescent="0.25">
      <c r="B44" s="277"/>
      <c r="C44" s="280"/>
      <c r="D44" s="113">
        <v>25</v>
      </c>
      <c r="E44" s="115" cm="1">
        <f t="array" ref="E44">INDEX(_xlfn._xlws.FILTER(CapacityTable[], (CapacityTable[Model] = $B$28) * (CapacityTable[T ext] = $D44) * (CapacityTable[T water out] = $E$8) * (CapacityTable[Type] = $C$40) * (CapacityTable[Results origin] = "Simulation values") * (CapacityTable[Mode] = "Cooling"),Tableau2[]),1,5)</f>
        <v>1.4126979180000001</v>
      </c>
      <c r="F44" s="77" cm="1">
        <f t="array" ref="F44">INDEX(_xlfn._xlws.FILTER(CapacityTable[], (CapacityTable[Model] = $B$28) * (CapacityTable[T ext] = $D44) * (CapacityTable[T water out] = $E$8) * (CapacityTable[Type] = $C$40) * (CapacityTable[Results origin] = "Simulation values") * (CapacityTable[Mode] = "Cooling"),Tableau2[]),1,6)</f>
        <v>0.33672499598753336</v>
      </c>
      <c r="G44" s="78" cm="1">
        <f t="array" ref="G44">INDEX(_xlfn._xlws.FILTER(CapacityTable[], (CapacityTable[Model] = $B$28) * (CapacityTable[T ext] = $D44) * (CapacityTable[T water out] = $E$8) * (CapacityTable[Type] = $C$40) * (CapacityTable[Results origin] = "Simulation values") * (CapacityTable[Mode] = "Cooling"),Tableau2[]),1,7)</f>
        <v>4.1954055529999996</v>
      </c>
      <c r="H44" s="75" cm="1">
        <f t="array" ref="H44">INDEX(_xlfn._xlws.FILTER(CapacityTable[], (CapacityTable[Model] = $B$28) * (CapacityTable[T ext] = $D44) * (CapacityTable[T water out] = $H$8) * (CapacityTable[Type] = $C$40) * (CapacityTable[Results origin] = "Simulation values") * (CapacityTable[Mode] = "Cooling"),Tableau2[]),1,5)</f>
        <v>2.0650186779999999</v>
      </c>
      <c r="I44" s="77" cm="1">
        <f t="array" ref="I44">INDEX(_xlfn._xlws.FILTER(CapacityTable[], (CapacityTable[Model] = $B$28) * (CapacityTable[T ext] = $D44) * (CapacityTable[T water out] = $H$8) * (CapacityTable[Type] = $C$40) * (CapacityTable[Results origin] = "Simulation values") * (CapacityTable[Mode] = "Cooling"),Tableau2[]),1,6)</f>
        <v>0.31719889359863868</v>
      </c>
      <c r="J44" s="78" cm="1">
        <f t="array" ref="J44">INDEX(_xlfn._xlws.FILTER(CapacityTable[], (CapacityTable[Model] = $B$28) * (CapacityTable[T ext] = $D44) * (CapacityTable[T water out] = $H$8) * (CapacityTable[Type] = $C$40) * (CapacityTable[Results origin] = "Simulation values") * (CapacityTable[Mode] = "Cooling"),Tableau2[]),1,7)</f>
        <v>6.5101698639999999</v>
      </c>
    </row>
    <row r="45" spans="2:10" ht="15.75" thickBot="1" x14ac:dyDescent="0.3">
      <c r="B45" s="278"/>
      <c r="C45" s="283"/>
      <c r="D45" s="114">
        <v>20</v>
      </c>
      <c r="E45" s="118" cm="1">
        <f t="array" ref="E45">INDEX(_xlfn._xlws.FILTER(CapacityTable[], (CapacityTable[Model] = $B$28) * (CapacityTable[T ext] = $D45) * (CapacityTable[T water out] = $E$8) * (CapacityTable[Type] = $C$40) * (CapacityTable[Results origin] = "Simulation values") * (CapacityTable[Mode] = "Cooling"),Tableau2[]),1,5)</f>
        <v>1.4830863779999999</v>
      </c>
      <c r="F45" s="105" cm="1">
        <f t="array" ref="F45">INDEX(_xlfn._xlws.FILTER(CapacityTable[], (CapacityTable[Model] = $B$28) * (CapacityTable[T ext] = $D45) * (CapacityTable[T water out] = $E$8) * (CapacityTable[Type] = $C$40) * (CapacityTable[Results origin] = "Simulation values") * (CapacityTable[Mode] = "Cooling"),Tableau2[]),1,6)</f>
        <v>0.3020385155012304</v>
      </c>
      <c r="G45" s="100" cm="1">
        <f t="array" ref="G45">INDEX(_xlfn._xlws.FILTER(CapacityTable[], (CapacityTable[Model] = $B$28) * (CapacityTable[T ext] = $D45) * (CapacityTable[T water out] = $E$8) * (CapacityTable[Type] = $C$40) * (CapacityTable[Results origin] = "Simulation values") * (CapacityTable[Mode] = "Cooling"),Tableau2[]),1,7)</f>
        <v>4.9102558180000004</v>
      </c>
      <c r="H45" s="94" cm="1">
        <f t="array" ref="H45">INDEX(_xlfn._xlws.FILTER(CapacityTable[], (CapacityTable[Model] = $B$28) * (CapacityTable[T ext] = $D45) * (CapacityTable[T water out] = $H$8) * (CapacityTable[Type] = $C$40) * (CapacityTable[Results origin] = "Simulation values") * (CapacityTable[Mode] = "Cooling"),Tableau2[]),1,5)</f>
        <v>2.1655445009999998</v>
      </c>
      <c r="I45" s="105" cm="1">
        <f t="array" ref="I45">INDEX(_xlfn._xlws.FILTER(CapacityTable[], (CapacityTable[Model] = $B$28) * (CapacityTable[T ext] = $D45) * (CapacityTable[T water out] = $H$8) * (CapacityTable[Type] = $C$40) * (CapacityTable[Results origin] = "Simulation values") * (CapacityTable[Mode] = "Cooling"),Tableau2[]),1,6)</f>
        <v>0.27980813470722693</v>
      </c>
      <c r="J45" s="100" cm="1">
        <f t="array" ref="J45">INDEX(_xlfn._xlws.FILTER(CapacityTable[], (CapacityTable[Model] = $B$28) * (CapacityTable[T ext] = $D45) * (CapacityTable[T water out] = $H$8) * (CapacityTable[Type] = $C$40) * (CapacityTable[Results origin] = "Simulation values") * (CapacityTable[Mode] = "Cooling"),Tableau2[]),1,7)</f>
        <v>7.7393907909999999</v>
      </c>
    </row>
    <row r="46" spans="2:10" x14ac:dyDescent="0.25">
      <c r="B46" s="276" t="s">
        <v>26</v>
      </c>
      <c r="C46" s="279" t="s">
        <v>165</v>
      </c>
      <c r="D46" s="122">
        <v>45</v>
      </c>
      <c r="E46" s="43"/>
      <c r="F46" s="63"/>
      <c r="G46" s="44"/>
      <c r="H46" s="45"/>
      <c r="I46" s="63"/>
      <c r="J46" s="44"/>
    </row>
    <row r="47" spans="2:10" x14ac:dyDescent="0.25">
      <c r="B47" s="276"/>
      <c r="C47" s="279"/>
      <c r="D47" s="112">
        <v>40</v>
      </c>
      <c r="E47" s="59"/>
      <c r="F47" s="66"/>
      <c r="G47" s="60"/>
      <c r="H47" s="61"/>
      <c r="I47" s="66"/>
      <c r="J47" s="60"/>
    </row>
    <row r="48" spans="2:10" x14ac:dyDescent="0.25">
      <c r="B48" s="277"/>
      <c r="C48" s="280"/>
      <c r="D48" s="113">
        <v>35</v>
      </c>
      <c r="E48" s="35"/>
      <c r="F48" s="64"/>
      <c r="G48" s="33"/>
      <c r="H48" s="40"/>
      <c r="I48" s="64"/>
      <c r="J48" s="33"/>
    </row>
    <row r="49" spans="2:10" x14ac:dyDescent="0.25">
      <c r="B49" s="277"/>
      <c r="C49" s="280"/>
      <c r="D49" s="113">
        <v>30</v>
      </c>
      <c r="E49" s="35"/>
      <c r="F49" s="64"/>
      <c r="G49" s="33"/>
      <c r="H49" s="40"/>
      <c r="I49" s="64"/>
      <c r="J49" s="33"/>
    </row>
    <row r="50" spans="2:10" x14ac:dyDescent="0.25">
      <c r="B50" s="277"/>
      <c r="C50" s="280"/>
      <c r="D50" s="113">
        <v>25</v>
      </c>
      <c r="E50" s="35"/>
      <c r="F50" s="64"/>
      <c r="G50" s="33"/>
      <c r="H50" s="40"/>
      <c r="I50" s="64"/>
      <c r="J50" s="33"/>
    </row>
    <row r="51" spans="2:10" ht="15.75" thickBot="1" x14ac:dyDescent="0.3">
      <c r="B51" s="277"/>
      <c r="C51" s="281"/>
      <c r="D51" s="114">
        <v>20</v>
      </c>
      <c r="E51" s="49"/>
      <c r="F51" s="65"/>
      <c r="G51" s="50"/>
      <c r="H51" s="51"/>
      <c r="I51" s="65"/>
      <c r="J51" s="50"/>
    </row>
    <row r="52" spans="2:10" x14ac:dyDescent="0.25">
      <c r="B52" s="277"/>
      <c r="C52" s="282" t="s">
        <v>156</v>
      </c>
      <c r="D52" s="122">
        <v>45</v>
      </c>
      <c r="E52" s="43"/>
      <c r="F52" s="63"/>
      <c r="G52" s="44"/>
      <c r="H52" s="45"/>
      <c r="I52" s="63"/>
      <c r="J52" s="44"/>
    </row>
    <row r="53" spans="2:10" x14ac:dyDescent="0.25">
      <c r="B53" s="277"/>
      <c r="C53" s="279"/>
      <c r="D53" s="112">
        <v>40</v>
      </c>
      <c r="E53" s="59"/>
      <c r="F53" s="66"/>
      <c r="G53" s="60"/>
      <c r="H53" s="61"/>
      <c r="I53" s="66"/>
      <c r="J53" s="60"/>
    </row>
    <row r="54" spans="2:10" x14ac:dyDescent="0.25">
      <c r="B54" s="277"/>
      <c r="C54" s="280"/>
      <c r="D54" s="113">
        <v>35</v>
      </c>
      <c r="E54" s="35"/>
      <c r="F54" s="64"/>
      <c r="G54" s="33"/>
      <c r="H54" s="40"/>
      <c r="I54" s="64"/>
      <c r="J54" s="33"/>
    </row>
    <row r="55" spans="2:10" x14ac:dyDescent="0.25">
      <c r="B55" s="277"/>
      <c r="C55" s="280"/>
      <c r="D55" s="113">
        <v>30</v>
      </c>
      <c r="E55" s="35"/>
      <c r="F55" s="64"/>
      <c r="G55" s="33"/>
      <c r="H55" s="40"/>
      <c r="I55" s="64"/>
      <c r="J55" s="33"/>
    </row>
    <row r="56" spans="2:10" x14ac:dyDescent="0.25">
      <c r="B56" s="277"/>
      <c r="C56" s="280"/>
      <c r="D56" s="113">
        <v>25</v>
      </c>
      <c r="E56" s="35"/>
      <c r="F56" s="64"/>
      <c r="G56" s="33"/>
      <c r="H56" s="40"/>
      <c r="I56" s="64"/>
      <c r="J56" s="33"/>
    </row>
    <row r="57" spans="2:10" ht="15.75" thickBot="1" x14ac:dyDescent="0.3">
      <c r="B57" s="277"/>
      <c r="C57" s="281"/>
      <c r="D57" s="114">
        <v>20</v>
      </c>
      <c r="E57" s="49"/>
      <c r="F57" s="65"/>
      <c r="G57" s="50"/>
      <c r="H57" s="51"/>
      <c r="I57" s="65"/>
      <c r="J57" s="50"/>
    </row>
    <row r="58" spans="2:10" x14ac:dyDescent="0.25">
      <c r="B58" s="277"/>
      <c r="C58" s="282" t="s">
        <v>166</v>
      </c>
      <c r="D58" s="122">
        <v>45</v>
      </c>
      <c r="E58" s="43"/>
      <c r="F58" s="63"/>
      <c r="G58" s="44"/>
      <c r="H58" s="45"/>
      <c r="I58" s="63"/>
      <c r="J58" s="44"/>
    </row>
    <row r="59" spans="2:10" x14ac:dyDescent="0.25">
      <c r="B59" s="277"/>
      <c r="C59" s="279"/>
      <c r="D59" s="112">
        <v>40</v>
      </c>
      <c r="E59" s="59"/>
      <c r="F59" s="66"/>
      <c r="G59" s="60"/>
      <c r="H59" s="61"/>
      <c r="I59" s="66"/>
      <c r="J59" s="60"/>
    </row>
    <row r="60" spans="2:10" x14ac:dyDescent="0.25">
      <c r="B60" s="277"/>
      <c r="C60" s="280"/>
      <c r="D60" s="113">
        <v>35</v>
      </c>
      <c r="E60" s="35"/>
      <c r="F60" s="64"/>
      <c r="G60" s="33"/>
      <c r="H60" s="40"/>
      <c r="I60" s="64"/>
      <c r="J60" s="33"/>
    </row>
    <row r="61" spans="2:10" x14ac:dyDescent="0.25">
      <c r="B61" s="277"/>
      <c r="C61" s="280"/>
      <c r="D61" s="113">
        <v>30</v>
      </c>
      <c r="E61" s="35"/>
      <c r="F61" s="64"/>
      <c r="G61" s="33"/>
      <c r="H61" s="40"/>
      <c r="I61" s="64"/>
      <c r="J61" s="33"/>
    </row>
    <row r="62" spans="2:10" x14ac:dyDescent="0.25">
      <c r="B62" s="277"/>
      <c r="C62" s="280"/>
      <c r="D62" s="113">
        <v>25</v>
      </c>
      <c r="E62" s="35"/>
      <c r="F62" s="64"/>
      <c r="G62" s="33"/>
      <c r="H62" s="40"/>
      <c r="I62" s="64"/>
      <c r="J62" s="33"/>
    </row>
    <row r="63" spans="2:10" ht="15.75" thickBot="1" x14ac:dyDescent="0.3">
      <c r="B63" s="278"/>
      <c r="C63" s="283"/>
      <c r="D63" s="114">
        <v>20</v>
      </c>
      <c r="E63" s="36"/>
      <c r="F63" s="67"/>
      <c r="G63" s="34"/>
      <c r="H63" s="41"/>
      <c r="I63" s="67"/>
      <c r="J63" s="34"/>
    </row>
    <row r="64" spans="2:10" x14ac:dyDescent="0.25">
      <c r="B64" s="276" t="s">
        <v>27</v>
      </c>
      <c r="C64" s="279" t="s">
        <v>165</v>
      </c>
      <c r="D64" s="122">
        <v>45</v>
      </c>
      <c r="E64" s="43"/>
      <c r="F64" s="63"/>
      <c r="G64" s="44"/>
      <c r="H64" s="45"/>
      <c r="I64" s="63"/>
      <c r="J64" s="44"/>
    </row>
    <row r="65" spans="2:10" x14ac:dyDescent="0.25">
      <c r="B65" s="276"/>
      <c r="C65" s="279"/>
      <c r="D65" s="112">
        <v>40</v>
      </c>
      <c r="E65" s="59"/>
      <c r="F65" s="66"/>
      <c r="G65" s="60"/>
      <c r="H65" s="61"/>
      <c r="I65" s="66"/>
      <c r="J65" s="60"/>
    </row>
    <row r="66" spans="2:10" x14ac:dyDescent="0.25">
      <c r="B66" s="277"/>
      <c r="C66" s="280"/>
      <c r="D66" s="113">
        <v>35</v>
      </c>
      <c r="E66" s="35"/>
      <c r="F66" s="64"/>
      <c r="G66" s="33"/>
      <c r="H66" s="40"/>
      <c r="I66" s="64"/>
      <c r="J66" s="33"/>
    </row>
    <row r="67" spans="2:10" x14ac:dyDescent="0.25">
      <c r="B67" s="277"/>
      <c r="C67" s="280"/>
      <c r="D67" s="113">
        <v>30</v>
      </c>
      <c r="E67" s="35"/>
      <c r="F67" s="64"/>
      <c r="G67" s="33"/>
      <c r="H67" s="40"/>
      <c r="I67" s="64"/>
      <c r="J67" s="33"/>
    </row>
    <row r="68" spans="2:10" x14ac:dyDescent="0.25">
      <c r="B68" s="277"/>
      <c r="C68" s="280"/>
      <c r="D68" s="113">
        <v>25</v>
      </c>
      <c r="E68" s="35"/>
      <c r="F68" s="64"/>
      <c r="G68" s="33"/>
      <c r="H68" s="40"/>
      <c r="I68" s="64"/>
      <c r="J68" s="33"/>
    </row>
    <row r="69" spans="2:10" ht="15.75" thickBot="1" x14ac:dyDescent="0.3">
      <c r="B69" s="277"/>
      <c r="C69" s="281"/>
      <c r="D69" s="114">
        <v>20</v>
      </c>
      <c r="E69" s="49"/>
      <c r="F69" s="65"/>
      <c r="G69" s="50"/>
      <c r="H69" s="51"/>
      <c r="I69" s="65"/>
      <c r="J69" s="50"/>
    </row>
    <row r="70" spans="2:10" x14ac:dyDescent="0.25">
      <c r="B70" s="277"/>
      <c r="C70" s="282" t="s">
        <v>156</v>
      </c>
      <c r="D70" s="122">
        <v>45</v>
      </c>
      <c r="E70" s="43"/>
      <c r="F70" s="63"/>
      <c r="G70" s="44"/>
      <c r="H70" s="45"/>
      <c r="I70" s="63"/>
      <c r="J70" s="44"/>
    </row>
    <row r="71" spans="2:10" x14ac:dyDescent="0.25">
      <c r="B71" s="277"/>
      <c r="C71" s="279"/>
      <c r="D71" s="112">
        <v>40</v>
      </c>
      <c r="E71" s="59"/>
      <c r="F71" s="66"/>
      <c r="G71" s="60"/>
      <c r="H71" s="61"/>
      <c r="I71" s="66"/>
      <c r="J71" s="60"/>
    </row>
    <row r="72" spans="2:10" x14ac:dyDescent="0.25">
      <c r="B72" s="277"/>
      <c r="C72" s="280"/>
      <c r="D72" s="113">
        <v>35</v>
      </c>
      <c r="E72" s="35"/>
      <c r="F72" s="64"/>
      <c r="G72" s="33"/>
      <c r="H72" s="40"/>
      <c r="I72" s="64"/>
      <c r="J72" s="33"/>
    </row>
    <row r="73" spans="2:10" x14ac:dyDescent="0.25">
      <c r="B73" s="277"/>
      <c r="C73" s="280"/>
      <c r="D73" s="113">
        <v>30</v>
      </c>
      <c r="E73" s="35"/>
      <c r="F73" s="64"/>
      <c r="G73" s="33"/>
      <c r="H73" s="40"/>
      <c r="I73" s="64"/>
      <c r="J73" s="33"/>
    </row>
    <row r="74" spans="2:10" x14ac:dyDescent="0.25">
      <c r="B74" s="277"/>
      <c r="C74" s="280"/>
      <c r="D74" s="113">
        <v>25</v>
      </c>
      <c r="E74" s="35"/>
      <c r="F74" s="64"/>
      <c r="G74" s="33"/>
      <c r="H74" s="40"/>
      <c r="I74" s="64"/>
      <c r="J74" s="33"/>
    </row>
    <row r="75" spans="2:10" ht="15.75" thickBot="1" x14ac:dyDescent="0.3">
      <c r="B75" s="277"/>
      <c r="C75" s="281"/>
      <c r="D75" s="114">
        <v>20</v>
      </c>
      <c r="E75" s="49"/>
      <c r="F75" s="65"/>
      <c r="G75" s="50"/>
      <c r="H75" s="51"/>
      <c r="I75" s="65"/>
      <c r="J75" s="50"/>
    </row>
    <row r="76" spans="2:10" x14ac:dyDescent="0.25">
      <c r="B76" s="277"/>
      <c r="C76" s="282" t="s">
        <v>166</v>
      </c>
      <c r="D76" s="122">
        <v>45</v>
      </c>
      <c r="E76" s="43"/>
      <c r="F76" s="63"/>
      <c r="G76" s="44"/>
      <c r="H76" s="45"/>
      <c r="I76" s="63"/>
      <c r="J76" s="44"/>
    </row>
    <row r="77" spans="2:10" x14ac:dyDescent="0.25">
      <c r="B77" s="277"/>
      <c r="C77" s="279"/>
      <c r="D77" s="112">
        <v>40</v>
      </c>
      <c r="E77" s="59"/>
      <c r="F77" s="66"/>
      <c r="G77" s="60"/>
      <c r="H77" s="61"/>
      <c r="I77" s="66"/>
      <c r="J77" s="60"/>
    </row>
    <row r="78" spans="2:10" x14ac:dyDescent="0.25">
      <c r="B78" s="277"/>
      <c r="C78" s="280"/>
      <c r="D78" s="113">
        <v>35</v>
      </c>
      <c r="E78" s="35"/>
      <c r="F78" s="64"/>
      <c r="G78" s="33"/>
      <c r="H78" s="40"/>
      <c r="I78" s="64"/>
      <c r="J78" s="33"/>
    </row>
    <row r="79" spans="2:10" x14ac:dyDescent="0.25">
      <c r="B79" s="277"/>
      <c r="C79" s="280"/>
      <c r="D79" s="113">
        <v>30</v>
      </c>
      <c r="E79" s="35"/>
      <c r="F79" s="64"/>
      <c r="G79" s="33"/>
      <c r="H79" s="40"/>
      <c r="I79" s="64"/>
      <c r="J79" s="33"/>
    </row>
    <row r="80" spans="2:10" x14ac:dyDescent="0.25">
      <c r="B80" s="277"/>
      <c r="C80" s="280"/>
      <c r="D80" s="113">
        <v>25</v>
      </c>
      <c r="E80" s="35"/>
      <c r="F80" s="64"/>
      <c r="G80" s="33"/>
      <c r="H80" s="40"/>
      <c r="I80" s="64"/>
      <c r="J80" s="33"/>
    </row>
    <row r="81" spans="2:10" ht="15.75" thickBot="1" x14ac:dyDescent="0.3">
      <c r="B81" s="278"/>
      <c r="C81" s="283"/>
      <c r="D81" s="114">
        <v>20</v>
      </c>
      <c r="E81" s="36"/>
      <c r="F81" s="67"/>
      <c r="G81" s="34"/>
      <c r="H81" s="41"/>
      <c r="I81" s="67"/>
      <c r="J81" s="34"/>
    </row>
  </sheetData>
  <mergeCells count="20">
    <mergeCell ref="B64:B81"/>
    <mergeCell ref="C64:C69"/>
    <mergeCell ref="C70:C75"/>
    <mergeCell ref="C76:C81"/>
    <mergeCell ref="B46:B63"/>
    <mergeCell ref="C46:C51"/>
    <mergeCell ref="C52:C57"/>
    <mergeCell ref="C58:C63"/>
    <mergeCell ref="C22:C27"/>
    <mergeCell ref="B10:B27"/>
    <mergeCell ref="B28:B45"/>
    <mergeCell ref="C28:C33"/>
    <mergeCell ref="C34:C39"/>
    <mergeCell ref="C40:C45"/>
    <mergeCell ref="C16:C21"/>
    <mergeCell ref="C9:D9"/>
    <mergeCell ref="C10:C15"/>
    <mergeCell ref="B8:D8"/>
    <mergeCell ref="H8:J8"/>
    <mergeCell ref="E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A906-0F35-4777-831B-07F710D9A620}">
  <dimension ref="B1:W47"/>
  <sheetViews>
    <sheetView zoomScale="70" zoomScaleNormal="70" workbookViewId="0">
      <selection activeCell="I3" sqref="I3:I6"/>
    </sheetView>
  </sheetViews>
  <sheetFormatPr defaultColWidth="11.42578125" defaultRowHeight="15" x14ac:dyDescent="0.25"/>
  <cols>
    <col min="2" max="2" width="13.42578125" customWidth="1"/>
    <col min="5" max="6" width="12.5703125" customWidth="1"/>
    <col min="7" max="7" width="11.42578125" customWidth="1"/>
    <col min="9" max="9" width="13.140625" bestFit="1" customWidth="1"/>
    <col min="11" max="11" width="14.5703125" customWidth="1"/>
    <col min="12" max="12" width="14.140625" customWidth="1"/>
    <col min="13" max="13" width="16.85546875" customWidth="1"/>
    <col min="16" max="16" width="12.42578125" customWidth="1"/>
  </cols>
  <sheetData>
    <row r="1" spans="2:23" ht="15.75" thickBot="1" x14ac:dyDescent="0.3"/>
    <row r="2" spans="2:23" ht="60.75" thickBot="1" x14ac:dyDescent="0.3">
      <c r="C2" s="225" t="s">
        <v>194</v>
      </c>
      <c r="D2" s="226" t="s">
        <v>195</v>
      </c>
      <c r="E2" s="223" t="s">
        <v>196</v>
      </c>
      <c r="F2" s="223" t="s">
        <v>197</v>
      </c>
      <c r="I2" s="160" t="s">
        <v>7</v>
      </c>
      <c r="J2" s="159" t="s">
        <v>198</v>
      </c>
      <c r="K2" s="158" t="s">
        <v>199</v>
      </c>
      <c r="L2" s="158" t="s">
        <v>200</v>
      </c>
      <c r="M2" s="158" t="s">
        <v>201</v>
      </c>
      <c r="N2" s="158" t="s">
        <v>202</v>
      </c>
      <c r="O2" s="158" t="s">
        <v>203</v>
      </c>
      <c r="P2" s="134" t="s">
        <v>204</v>
      </c>
      <c r="Q2" s="119"/>
    </row>
    <row r="3" spans="2:23" ht="14.45" customHeight="1" x14ac:dyDescent="0.25">
      <c r="B3" s="296" t="s">
        <v>205</v>
      </c>
      <c r="C3" s="143">
        <v>1.4</v>
      </c>
      <c r="D3" s="131">
        <f>C3*1000/60</f>
        <v>23.333333333333332</v>
      </c>
      <c r="E3" s="220">
        <v>16.231000000000002</v>
      </c>
      <c r="F3" s="227">
        <f>E3/9.81</f>
        <v>1.6545361875637106</v>
      </c>
      <c r="G3" s="299" t="s">
        <v>206</v>
      </c>
      <c r="I3" s="155" t="s">
        <v>23</v>
      </c>
      <c r="J3" s="156">
        <v>6</v>
      </c>
      <c r="K3" s="123">
        <f>$J3/1.16/5</f>
        <v>1.0344827586206897</v>
      </c>
      <c r="L3" s="123">
        <f>$J3/1.16/8</f>
        <v>0.64655172413793105</v>
      </c>
      <c r="M3" s="123">
        <f>$J3/1.16/10</f>
        <v>0.51724137931034486</v>
      </c>
      <c r="N3" s="123">
        <f>O3*60/1000</f>
        <v>0.432</v>
      </c>
      <c r="O3" s="146">
        <v>7.2</v>
      </c>
      <c r="P3" s="157">
        <f>K3*1.2</f>
        <v>1.2413793103448276</v>
      </c>
      <c r="T3">
        <v>2.61</v>
      </c>
      <c r="U3">
        <v>2.77</v>
      </c>
      <c r="V3">
        <v>2.29</v>
      </c>
      <c r="W3">
        <v>2.42</v>
      </c>
    </row>
    <row r="4" spans="2:23" x14ac:dyDescent="0.25">
      <c r="B4" s="302"/>
      <c r="C4" s="144">
        <v>1.2</v>
      </c>
      <c r="D4" s="132">
        <f t="shared" ref="D4:D47" si="0">C4*1000/60</f>
        <v>20</v>
      </c>
      <c r="E4" s="221">
        <v>29.088000000000001</v>
      </c>
      <c r="F4" s="224">
        <f t="shared" ref="F4:F47" si="1">E4/9.81</f>
        <v>2.9651376146788992</v>
      </c>
      <c r="G4" s="300"/>
      <c r="I4" s="153" t="s">
        <v>25</v>
      </c>
      <c r="J4" s="151">
        <v>9</v>
      </c>
      <c r="K4" s="54">
        <f t="shared" ref="K4:K6" si="2">$J4/1.16/5</f>
        <v>1.5517241379310345</v>
      </c>
      <c r="L4" s="54">
        <f t="shared" ref="L4:L6" si="3">$J4/1.16/8</f>
        <v>0.96982758620689657</v>
      </c>
      <c r="M4" s="54">
        <f t="shared" ref="M4:M6" si="4">$J4/1.16/10</f>
        <v>0.77586206896551724</v>
      </c>
      <c r="N4" s="54">
        <f t="shared" ref="N4" si="5">O4*60/1000</f>
        <v>0.75</v>
      </c>
      <c r="O4" s="9">
        <v>12.5</v>
      </c>
      <c r="P4" s="147">
        <f t="shared" ref="P4:P6" si="6">K4*1.2</f>
        <v>1.8620689655172413</v>
      </c>
      <c r="T4" s="236">
        <f>T3/1.16/5</f>
        <v>0.45</v>
      </c>
      <c r="U4" s="236">
        <f t="shared" ref="U4:W4" si="7">U3/1.16/5</f>
        <v>0.47758620689655179</v>
      </c>
      <c r="V4" s="236">
        <f t="shared" si="7"/>
        <v>0.39482758620689656</v>
      </c>
      <c r="W4" s="236">
        <f t="shared" si="7"/>
        <v>0.41724137931034483</v>
      </c>
    </row>
    <row r="5" spans="2:23" x14ac:dyDescent="0.25">
      <c r="B5" s="302"/>
      <c r="C5" s="144">
        <v>1</v>
      </c>
      <c r="D5" s="132">
        <f t="shared" si="0"/>
        <v>16.666666666666668</v>
      </c>
      <c r="E5" s="221">
        <v>42.317</v>
      </c>
      <c r="F5" s="224">
        <f t="shared" si="1"/>
        <v>4.3136595310907238</v>
      </c>
      <c r="G5" s="300"/>
      <c r="I5" s="153" t="s">
        <v>207</v>
      </c>
      <c r="J5" s="151">
        <v>12</v>
      </c>
      <c r="K5" s="54">
        <f t="shared" si="2"/>
        <v>2.0689655172413794</v>
      </c>
      <c r="L5" s="54">
        <f t="shared" si="3"/>
        <v>1.2931034482758621</v>
      </c>
      <c r="M5" s="54">
        <f t="shared" si="4"/>
        <v>1.0344827586206897</v>
      </c>
      <c r="N5" s="54"/>
      <c r="O5" s="9"/>
      <c r="P5" s="147">
        <f t="shared" si="6"/>
        <v>2.4827586206896552</v>
      </c>
      <c r="T5" s="237">
        <f>T4*1000/60</f>
        <v>7.5</v>
      </c>
      <c r="U5" s="237">
        <f t="shared" ref="U5:W5" si="8">U4*1000/60</f>
        <v>7.95977011494253</v>
      </c>
      <c r="V5" s="237">
        <f t="shared" si="8"/>
        <v>6.5804597701149428</v>
      </c>
      <c r="W5" s="237">
        <f t="shared" si="8"/>
        <v>6.9540229885057467</v>
      </c>
    </row>
    <row r="6" spans="2:23" ht="15.75" thickBot="1" x14ac:dyDescent="0.3">
      <c r="B6" s="302"/>
      <c r="C6" s="144">
        <v>0.8</v>
      </c>
      <c r="D6" s="132">
        <f t="shared" si="0"/>
        <v>13.333333333333334</v>
      </c>
      <c r="E6" s="221">
        <v>55.293999999999997</v>
      </c>
      <c r="F6" s="224">
        <f t="shared" si="1"/>
        <v>5.6364933741080527</v>
      </c>
      <c r="G6" s="300"/>
      <c r="I6" s="154" t="s">
        <v>208</v>
      </c>
      <c r="J6" s="152">
        <v>16</v>
      </c>
      <c r="K6" s="149">
        <f t="shared" si="2"/>
        <v>2.7586206896551726</v>
      </c>
      <c r="L6" s="149">
        <f t="shared" si="3"/>
        <v>1.7241379310344829</v>
      </c>
      <c r="M6" s="149">
        <f t="shared" si="4"/>
        <v>1.3793103448275863</v>
      </c>
      <c r="N6" s="149"/>
      <c r="O6" s="148"/>
      <c r="P6" s="150">
        <f t="shared" si="6"/>
        <v>3.3103448275862069</v>
      </c>
    </row>
    <row r="7" spans="2:23" x14ac:dyDescent="0.25">
      <c r="B7" s="302"/>
      <c r="C7" s="144">
        <v>0.6</v>
      </c>
      <c r="D7" s="132">
        <f t="shared" si="0"/>
        <v>10</v>
      </c>
      <c r="E7" s="221">
        <v>68.463999999999999</v>
      </c>
      <c r="F7" s="224">
        <f t="shared" si="1"/>
        <v>6.979001019367991</v>
      </c>
      <c r="G7" s="300"/>
    </row>
    <row r="8" spans="2:23" x14ac:dyDescent="0.25">
      <c r="B8" s="302"/>
      <c r="C8" s="144">
        <v>0.4</v>
      </c>
      <c r="D8" s="132">
        <f t="shared" si="0"/>
        <v>6.666666666666667</v>
      </c>
      <c r="E8" s="221">
        <v>75.075000000000003</v>
      </c>
      <c r="F8" s="224">
        <f t="shared" si="1"/>
        <v>7.6529051987767582</v>
      </c>
      <c r="G8" s="300"/>
    </row>
    <row r="9" spans="2:23" x14ac:dyDescent="0.25">
      <c r="B9" s="302"/>
      <c r="C9" s="144">
        <v>0.3</v>
      </c>
      <c r="D9" s="132">
        <f t="shared" si="0"/>
        <v>5</v>
      </c>
      <c r="E9" s="221">
        <v>76.632000000000005</v>
      </c>
      <c r="F9" s="224">
        <f t="shared" si="1"/>
        <v>7.811620795107034</v>
      </c>
      <c r="G9" s="300"/>
    </row>
    <row r="10" spans="2:23" ht="15.75" thickBot="1" x14ac:dyDescent="0.3">
      <c r="B10" s="303"/>
      <c r="C10" s="145">
        <v>0</v>
      </c>
      <c r="D10" s="133">
        <f t="shared" si="0"/>
        <v>0</v>
      </c>
      <c r="E10" s="222">
        <v>79.16</v>
      </c>
      <c r="F10" s="228">
        <f t="shared" si="1"/>
        <v>8.0693170234454623</v>
      </c>
      <c r="G10" s="301"/>
    </row>
    <row r="11" spans="2:23" x14ac:dyDescent="0.25">
      <c r="B11" s="296" t="s">
        <v>209</v>
      </c>
      <c r="C11" s="138">
        <v>1.65</v>
      </c>
      <c r="D11" s="131">
        <f t="shared" si="0"/>
        <v>27.5</v>
      </c>
      <c r="E11" s="220">
        <v>34.92</v>
      </c>
      <c r="F11" s="227">
        <f t="shared" si="1"/>
        <v>3.5596330275229358</v>
      </c>
      <c r="G11" s="299" t="s">
        <v>210</v>
      </c>
    </row>
    <row r="12" spans="2:23" x14ac:dyDescent="0.25">
      <c r="B12" s="302"/>
      <c r="C12" s="136">
        <v>1.64</v>
      </c>
      <c r="D12" s="132">
        <f t="shared" si="0"/>
        <v>27.333333333333332</v>
      </c>
      <c r="E12" s="221">
        <v>36.201000000000001</v>
      </c>
      <c r="F12" s="224">
        <f t="shared" si="1"/>
        <v>3.6902140672782875</v>
      </c>
      <c r="G12" s="300"/>
    </row>
    <row r="13" spans="2:23" x14ac:dyDescent="0.25">
      <c r="B13" s="302"/>
      <c r="C13" s="136">
        <v>1.605</v>
      </c>
      <c r="D13" s="132">
        <f t="shared" si="0"/>
        <v>26.75</v>
      </c>
      <c r="E13" s="221">
        <v>38.593000000000004</v>
      </c>
      <c r="F13" s="224">
        <f t="shared" si="1"/>
        <v>3.9340468909276249</v>
      </c>
      <c r="G13" s="300"/>
    </row>
    <row r="14" spans="2:23" x14ac:dyDescent="0.25">
      <c r="B14" s="302"/>
      <c r="C14" s="136">
        <v>1.53</v>
      </c>
      <c r="D14" s="132">
        <f t="shared" si="0"/>
        <v>25.5</v>
      </c>
      <c r="E14" s="221">
        <v>43.423000000000002</v>
      </c>
      <c r="F14" s="224">
        <f t="shared" si="1"/>
        <v>4.4264016309887868</v>
      </c>
      <c r="G14" s="300"/>
    </row>
    <row r="15" spans="2:23" x14ac:dyDescent="0.25">
      <c r="B15" s="302"/>
      <c r="C15" s="136">
        <v>1.4179999999999999</v>
      </c>
      <c r="D15" s="132">
        <f t="shared" si="0"/>
        <v>23.633333333333333</v>
      </c>
      <c r="E15" s="221">
        <v>50.399000000000001</v>
      </c>
      <c r="F15" s="224">
        <f t="shared" si="1"/>
        <v>5.1375127420998981</v>
      </c>
      <c r="G15" s="300"/>
    </row>
    <row r="16" spans="2:23" x14ac:dyDescent="0.25">
      <c r="B16" s="302"/>
      <c r="C16" s="136">
        <v>1.2</v>
      </c>
      <c r="D16" s="132">
        <f t="shared" si="0"/>
        <v>20</v>
      </c>
      <c r="E16" s="221">
        <v>62.582999999999998</v>
      </c>
      <c r="F16" s="224">
        <f t="shared" si="1"/>
        <v>6.3795107033639136</v>
      </c>
      <c r="G16" s="300"/>
    </row>
    <row r="17" spans="2:7" x14ac:dyDescent="0.25">
      <c r="B17" s="302"/>
      <c r="C17" s="136">
        <v>0.90600000000000003</v>
      </c>
      <c r="D17" s="132">
        <f t="shared" si="0"/>
        <v>15.1</v>
      </c>
      <c r="E17" s="221">
        <v>71.019000000000005</v>
      </c>
      <c r="F17" s="224">
        <f t="shared" si="1"/>
        <v>7.2394495412844035</v>
      </c>
      <c r="G17" s="300"/>
    </row>
    <row r="18" spans="2:7" x14ac:dyDescent="0.25">
      <c r="B18" s="302"/>
      <c r="C18" s="136">
        <v>0.56899999999999995</v>
      </c>
      <c r="D18" s="132">
        <f t="shared" si="0"/>
        <v>9.4833333333333325</v>
      </c>
      <c r="E18" s="221">
        <v>77.587999999999994</v>
      </c>
      <c r="F18" s="224">
        <f t="shared" si="1"/>
        <v>7.9090723751274199</v>
      </c>
      <c r="G18" s="300"/>
    </row>
    <row r="19" spans="2:7" x14ac:dyDescent="0.25">
      <c r="B19" s="302"/>
      <c r="C19" s="136">
        <v>0.40699999999999997</v>
      </c>
      <c r="D19" s="132">
        <f t="shared" si="0"/>
        <v>6.7833333333333332</v>
      </c>
      <c r="E19" s="221">
        <v>79.484999999999999</v>
      </c>
      <c r="F19" s="224">
        <f t="shared" si="1"/>
        <v>8.1024464831804277</v>
      </c>
      <c r="G19" s="300"/>
    </row>
    <row r="20" spans="2:7" ht="14.45" customHeight="1" thickBot="1" x14ac:dyDescent="0.3">
      <c r="B20" s="303"/>
      <c r="C20" s="137">
        <v>0</v>
      </c>
      <c r="D20" s="133">
        <f t="shared" si="0"/>
        <v>0</v>
      </c>
      <c r="E20" s="222">
        <v>81.808999999999997</v>
      </c>
      <c r="F20" s="228">
        <f t="shared" si="1"/>
        <v>8.3393476044852193</v>
      </c>
      <c r="G20" s="301"/>
    </row>
    <row r="21" spans="2:7" ht="14.45" customHeight="1" x14ac:dyDescent="0.25">
      <c r="B21" s="296" t="s">
        <v>211</v>
      </c>
      <c r="C21" s="135">
        <v>0.2</v>
      </c>
      <c r="D21" s="131">
        <f t="shared" si="0"/>
        <v>3.3333333333333335</v>
      </c>
      <c r="E21" s="220">
        <v>76.283000000000001</v>
      </c>
      <c r="F21" s="227">
        <f t="shared" si="1"/>
        <v>7.7760448521916405</v>
      </c>
      <c r="G21" s="299" t="s">
        <v>212</v>
      </c>
    </row>
    <row r="22" spans="2:7" x14ac:dyDescent="0.25">
      <c r="B22" s="297"/>
      <c r="C22" s="139">
        <v>0.40100000000000002</v>
      </c>
      <c r="D22" s="132">
        <f t="shared" si="0"/>
        <v>6.6833333333333336</v>
      </c>
      <c r="E22" s="221">
        <v>75.537000000000006</v>
      </c>
      <c r="F22" s="224">
        <f t="shared" si="1"/>
        <v>7.7</v>
      </c>
      <c r="G22" s="300"/>
    </row>
    <row r="23" spans="2:7" x14ac:dyDescent="0.25">
      <c r="B23" s="297"/>
      <c r="C23" s="139">
        <v>0.6</v>
      </c>
      <c r="D23" s="132">
        <f t="shared" si="0"/>
        <v>10</v>
      </c>
      <c r="E23" s="221">
        <v>74.069999999999993</v>
      </c>
      <c r="F23" s="224">
        <f t="shared" si="1"/>
        <v>7.5504587155963296</v>
      </c>
      <c r="G23" s="300"/>
    </row>
    <row r="24" spans="2:7" x14ac:dyDescent="0.25">
      <c r="B24" s="297"/>
      <c r="C24" s="139">
        <v>0.8</v>
      </c>
      <c r="D24" s="132">
        <f t="shared" si="0"/>
        <v>13.333333333333334</v>
      </c>
      <c r="E24" s="221">
        <v>72</v>
      </c>
      <c r="F24" s="224">
        <f t="shared" si="1"/>
        <v>7.3394495412844032</v>
      </c>
      <c r="G24" s="300"/>
    </row>
    <row r="25" spans="2:7" x14ac:dyDescent="0.25">
      <c r="B25" s="297"/>
      <c r="C25" s="139">
        <v>1</v>
      </c>
      <c r="D25" s="132">
        <f t="shared" si="0"/>
        <v>16.666666666666668</v>
      </c>
      <c r="E25" s="221">
        <v>69.311999999999998</v>
      </c>
      <c r="F25" s="224">
        <f t="shared" si="1"/>
        <v>7.0654434250764524</v>
      </c>
      <c r="G25" s="300"/>
    </row>
    <row r="26" spans="2:7" x14ac:dyDescent="0.25">
      <c r="B26" s="297"/>
      <c r="C26" s="139">
        <v>1.2</v>
      </c>
      <c r="D26" s="132">
        <f t="shared" si="0"/>
        <v>20</v>
      </c>
      <c r="E26" s="221">
        <v>65.906999999999996</v>
      </c>
      <c r="F26" s="224">
        <f t="shared" si="1"/>
        <v>6.7183486238532106</v>
      </c>
      <c r="G26" s="300"/>
    </row>
    <row r="27" spans="2:7" x14ac:dyDescent="0.25">
      <c r="B27" s="297"/>
      <c r="C27" s="139">
        <v>1.4</v>
      </c>
      <c r="D27" s="132">
        <f t="shared" si="0"/>
        <v>23.333333333333332</v>
      </c>
      <c r="E27" s="221">
        <v>61.759</v>
      </c>
      <c r="F27" s="224">
        <f t="shared" si="1"/>
        <v>6.2955147808358811</v>
      </c>
      <c r="G27" s="300"/>
    </row>
    <row r="28" spans="2:7" x14ac:dyDescent="0.25">
      <c r="B28" s="297"/>
      <c r="C28" s="139">
        <v>1.6</v>
      </c>
      <c r="D28" s="132">
        <f t="shared" si="0"/>
        <v>26.666666666666668</v>
      </c>
      <c r="E28" s="221">
        <v>57.014000000000003</v>
      </c>
      <c r="F28" s="224">
        <f t="shared" si="1"/>
        <v>5.8118246687054027</v>
      </c>
      <c r="G28" s="300"/>
    </row>
    <row r="29" spans="2:7" x14ac:dyDescent="0.25">
      <c r="B29" s="297"/>
      <c r="C29" s="139">
        <v>1.8</v>
      </c>
      <c r="D29" s="132">
        <f t="shared" si="0"/>
        <v>30</v>
      </c>
      <c r="E29" s="221">
        <v>51.779000000000003</v>
      </c>
      <c r="F29" s="224">
        <f t="shared" si="1"/>
        <v>5.278185524974516</v>
      </c>
      <c r="G29" s="300"/>
    </row>
    <row r="30" spans="2:7" x14ac:dyDescent="0.25">
      <c r="B30" s="297"/>
      <c r="C30" s="139">
        <v>2</v>
      </c>
      <c r="D30" s="132">
        <f t="shared" si="0"/>
        <v>33.333333333333336</v>
      </c>
      <c r="E30" s="221">
        <v>46.067999999999998</v>
      </c>
      <c r="F30" s="224">
        <f t="shared" si="1"/>
        <v>4.6960244648318037</v>
      </c>
      <c r="G30" s="300"/>
    </row>
    <row r="31" spans="2:7" x14ac:dyDescent="0.25">
      <c r="B31" s="297"/>
      <c r="C31" s="139">
        <v>2.2000000000000002</v>
      </c>
      <c r="D31" s="132">
        <f t="shared" si="0"/>
        <v>36.666666666666664</v>
      </c>
      <c r="E31" s="221">
        <v>38.988999999999997</v>
      </c>
      <c r="F31" s="224">
        <f t="shared" si="1"/>
        <v>3.9744138634046888</v>
      </c>
      <c r="G31" s="300"/>
    </row>
    <row r="32" spans="2:7" x14ac:dyDescent="0.25">
      <c r="B32" s="297"/>
      <c r="C32" s="139">
        <v>2.4</v>
      </c>
      <c r="D32" s="132">
        <f t="shared" si="0"/>
        <v>40</v>
      </c>
      <c r="E32" s="221">
        <v>29.905000000000001</v>
      </c>
      <c r="F32" s="224">
        <f t="shared" si="1"/>
        <v>3.0484199796126403</v>
      </c>
      <c r="G32" s="300"/>
    </row>
    <row r="33" spans="2:7" ht="15.75" thickBot="1" x14ac:dyDescent="0.3">
      <c r="B33" s="298"/>
      <c r="C33" s="229">
        <v>2.6</v>
      </c>
      <c r="D33" s="133">
        <f t="shared" si="0"/>
        <v>43.333333333333336</v>
      </c>
      <c r="E33" s="222">
        <v>20.917000000000002</v>
      </c>
      <c r="F33" s="228">
        <f t="shared" si="1"/>
        <v>2.1322120285423036</v>
      </c>
      <c r="G33" s="301"/>
    </row>
    <row r="34" spans="2:7" ht="14.45" customHeight="1" x14ac:dyDescent="0.25">
      <c r="B34" s="296" t="s">
        <v>213</v>
      </c>
      <c r="C34" s="140">
        <v>0.60099999999999998</v>
      </c>
      <c r="D34" s="131">
        <f t="shared" si="0"/>
        <v>10.016666666666667</v>
      </c>
      <c r="E34" s="220">
        <v>107.01300000000001</v>
      </c>
      <c r="F34" s="227">
        <f t="shared" si="1"/>
        <v>10.908562691131499</v>
      </c>
      <c r="G34" s="299" t="s">
        <v>214</v>
      </c>
    </row>
    <row r="35" spans="2:7" x14ac:dyDescent="0.25">
      <c r="B35" s="297"/>
      <c r="C35" s="141">
        <v>0.7</v>
      </c>
      <c r="D35" s="132">
        <f t="shared" si="0"/>
        <v>11.666666666666666</v>
      </c>
      <c r="E35" s="221">
        <v>106.623</v>
      </c>
      <c r="F35" s="224">
        <f t="shared" si="1"/>
        <v>10.868807339449541</v>
      </c>
      <c r="G35" s="300"/>
    </row>
    <row r="36" spans="2:7" x14ac:dyDescent="0.25">
      <c r="B36" s="297"/>
      <c r="C36" s="141">
        <v>0.77</v>
      </c>
      <c r="D36" s="132">
        <f t="shared" si="0"/>
        <v>12.833333333333334</v>
      </c>
      <c r="E36" s="221">
        <v>106.254</v>
      </c>
      <c r="F36" s="224">
        <f t="shared" si="1"/>
        <v>10.831192660550458</v>
      </c>
      <c r="G36" s="300"/>
    </row>
    <row r="37" spans="2:7" x14ac:dyDescent="0.25">
      <c r="B37" s="297"/>
      <c r="C37" s="141">
        <v>0.93</v>
      </c>
      <c r="D37" s="132">
        <f t="shared" si="0"/>
        <v>15.5</v>
      </c>
      <c r="E37" s="221">
        <v>105.119</v>
      </c>
      <c r="F37" s="224">
        <f t="shared" si="1"/>
        <v>10.715494393476044</v>
      </c>
      <c r="G37" s="300"/>
    </row>
    <row r="38" spans="2:7" x14ac:dyDescent="0.25">
      <c r="B38" s="297"/>
      <c r="C38" s="141">
        <v>1.1000000000000001</v>
      </c>
      <c r="D38" s="132">
        <f t="shared" si="0"/>
        <v>18.333333333333332</v>
      </c>
      <c r="E38" s="221">
        <v>103.52</v>
      </c>
      <c r="F38" s="224">
        <f t="shared" si="1"/>
        <v>10.55249745158002</v>
      </c>
      <c r="G38" s="300"/>
    </row>
    <row r="39" spans="2:7" x14ac:dyDescent="0.25">
      <c r="B39" s="297"/>
      <c r="C39" s="141">
        <v>1.3</v>
      </c>
      <c r="D39" s="132">
        <f t="shared" si="0"/>
        <v>21.666666666666668</v>
      </c>
      <c r="E39" s="221">
        <v>100.745</v>
      </c>
      <c r="F39" s="224">
        <f t="shared" si="1"/>
        <v>10.269622833843018</v>
      </c>
      <c r="G39" s="300"/>
    </row>
    <row r="40" spans="2:7" x14ac:dyDescent="0.25">
      <c r="B40" s="297"/>
      <c r="C40" s="141">
        <v>1.5</v>
      </c>
      <c r="D40" s="132">
        <f t="shared" si="0"/>
        <v>25</v>
      </c>
      <c r="E40" s="221">
        <v>97.450999999999993</v>
      </c>
      <c r="F40" s="224">
        <f t="shared" si="1"/>
        <v>9.933843017329254</v>
      </c>
      <c r="G40" s="300"/>
    </row>
    <row r="41" spans="2:7" x14ac:dyDescent="0.25">
      <c r="B41" s="297"/>
      <c r="C41" s="141">
        <v>1.7</v>
      </c>
      <c r="D41" s="132">
        <f t="shared" si="0"/>
        <v>28.333333333333332</v>
      </c>
      <c r="E41" s="221">
        <v>93.646000000000001</v>
      </c>
      <c r="F41" s="224">
        <f t="shared" si="1"/>
        <v>9.5459734964322109</v>
      </c>
      <c r="G41" s="300"/>
    </row>
    <row r="42" spans="2:7" x14ac:dyDescent="0.25">
      <c r="B42" s="297"/>
      <c r="C42" s="141">
        <v>2</v>
      </c>
      <c r="D42" s="132">
        <f t="shared" si="0"/>
        <v>33.333333333333336</v>
      </c>
      <c r="E42" s="221">
        <v>87.546000000000006</v>
      </c>
      <c r="F42" s="224">
        <f t="shared" si="1"/>
        <v>8.9241590214067283</v>
      </c>
      <c r="G42" s="300"/>
    </row>
    <row r="43" spans="2:7" x14ac:dyDescent="0.25">
      <c r="B43" s="297"/>
      <c r="C43" s="141">
        <v>2.2000000000000002</v>
      </c>
      <c r="D43" s="132">
        <f t="shared" si="0"/>
        <v>36.666666666666664</v>
      </c>
      <c r="E43" s="221">
        <v>80.369</v>
      </c>
      <c r="F43" s="224">
        <f t="shared" si="1"/>
        <v>8.1925586136595303</v>
      </c>
      <c r="G43" s="300"/>
    </row>
    <row r="44" spans="2:7" x14ac:dyDescent="0.25">
      <c r="B44" s="297"/>
      <c r="C44" s="141">
        <v>2.44</v>
      </c>
      <c r="D44" s="132">
        <f t="shared" si="0"/>
        <v>40.666666666666664</v>
      </c>
      <c r="E44" s="221">
        <v>67.965000000000003</v>
      </c>
      <c r="F44" s="224">
        <f t="shared" si="1"/>
        <v>6.9281345565749239</v>
      </c>
      <c r="G44" s="300"/>
    </row>
    <row r="45" spans="2:7" x14ac:dyDescent="0.25">
      <c r="B45" s="297"/>
      <c r="C45" s="141">
        <v>2.6</v>
      </c>
      <c r="D45" s="132">
        <f t="shared" si="0"/>
        <v>43.333333333333336</v>
      </c>
      <c r="E45" s="221">
        <v>59.137999999999998</v>
      </c>
      <c r="F45" s="224">
        <f t="shared" si="1"/>
        <v>6.0283384301732923</v>
      </c>
      <c r="G45" s="300"/>
    </row>
    <row r="46" spans="2:7" x14ac:dyDescent="0.25">
      <c r="B46" s="297"/>
      <c r="C46" s="141">
        <v>2.76</v>
      </c>
      <c r="D46" s="132">
        <f t="shared" si="0"/>
        <v>46</v>
      </c>
      <c r="E46" s="221">
        <v>48.622</v>
      </c>
      <c r="F46" s="224">
        <f t="shared" si="1"/>
        <v>4.9563710499490314</v>
      </c>
      <c r="G46" s="300"/>
    </row>
    <row r="47" spans="2:7" ht="15.75" thickBot="1" x14ac:dyDescent="0.3">
      <c r="B47" s="298"/>
      <c r="C47" s="142">
        <v>2.85</v>
      </c>
      <c r="D47" s="133">
        <f t="shared" si="0"/>
        <v>47.5</v>
      </c>
      <c r="E47" s="222">
        <v>41.750999999999998</v>
      </c>
      <c r="F47" s="228">
        <f t="shared" si="1"/>
        <v>4.255963302752293</v>
      </c>
      <c r="G47" s="301"/>
    </row>
  </sheetData>
  <mergeCells count="8">
    <mergeCell ref="B34:B47"/>
    <mergeCell ref="G34:G47"/>
    <mergeCell ref="G21:G33"/>
    <mergeCell ref="G11:G20"/>
    <mergeCell ref="B3:B10"/>
    <mergeCell ref="B11:B20"/>
    <mergeCell ref="B21:B33"/>
    <mergeCell ref="G3:G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766-DA5A-4680-AE9A-625F932CFC8F}">
  <dimension ref="B3:I10"/>
  <sheetViews>
    <sheetView workbookViewId="0">
      <selection activeCell="B11" sqref="B11"/>
    </sheetView>
  </sheetViews>
  <sheetFormatPr defaultColWidth="8.7109375" defaultRowHeight="15" x14ac:dyDescent="0.25"/>
  <cols>
    <col min="2" max="2" width="44" bestFit="1" customWidth="1"/>
    <col min="3" max="4" width="14.140625" bestFit="1" customWidth="1"/>
    <col min="5" max="6" width="11.85546875" bestFit="1" customWidth="1"/>
  </cols>
  <sheetData>
    <row r="3" spans="2:9" x14ac:dyDescent="0.25">
      <c r="B3" s="238" t="s">
        <v>7</v>
      </c>
      <c r="C3" s="238" t="s">
        <v>23</v>
      </c>
      <c r="D3" s="238" t="s">
        <v>25</v>
      </c>
      <c r="E3" s="238" t="s">
        <v>207</v>
      </c>
      <c r="F3" s="238" t="s">
        <v>208</v>
      </c>
    </row>
    <row r="4" spans="2:9" x14ac:dyDescent="0.25">
      <c r="B4" s="238" t="s">
        <v>215</v>
      </c>
      <c r="C4" s="243">
        <f>C6*(C5/3600)</f>
        <v>0.47091083161654412</v>
      </c>
      <c r="D4" s="246">
        <f>D6*(D5/3600)</f>
        <v>0.53410000000000002</v>
      </c>
      <c r="E4" s="243">
        <f>E6*(E5/3600)</f>
        <v>0.41024747372464454</v>
      </c>
      <c r="F4" s="239" t="s">
        <v>18</v>
      </c>
    </row>
    <row r="5" spans="2:9" x14ac:dyDescent="0.25">
      <c r="B5" s="238" t="s">
        <v>231</v>
      </c>
      <c r="C5" s="242">
        <f>(7*60)+14</f>
        <v>434</v>
      </c>
      <c r="D5" s="244">
        <v>441</v>
      </c>
      <c r="E5" s="239">
        <f>(3*60)+10</f>
        <v>190</v>
      </c>
      <c r="F5" s="239" t="s">
        <v>18</v>
      </c>
      <c r="G5" s="247">
        <f>C5/60</f>
        <v>7.2333333333333334</v>
      </c>
      <c r="H5" s="247">
        <f t="shared" ref="H5:I5" si="0">D5/60</f>
        <v>7.35</v>
      </c>
      <c r="I5" s="247">
        <f t="shared" si="0"/>
        <v>3.1666666666666665</v>
      </c>
    </row>
    <row r="6" spans="2:9" x14ac:dyDescent="0.25">
      <c r="B6" s="238" t="s">
        <v>216</v>
      </c>
      <c r="C6" s="189">
        <v>3.9061727968192601</v>
      </c>
      <c r="D6" s="244">
        <v>4.3600000000000003</v>
      </c>
      <c r="E6" s="189">
        <v>7.7731100284669497</v>
      </c>
      <c r="F6" s="239" t="s">
        <v>18</v>
      </c>
    </row>
    <row r="7" spans="2:9" x14ac:dyDescent="0.25">
      <c r="B7" s="238" t="s">
        <v>217</v>
      </c>
      <c r="C7" s="239">
        <v>0.43</v>
      </c>
      <c r="D7" s="244">
        <v>0.75</v>
      </c>
      <c r="E7" s="239">
        <v>1.4</v>
      </c>
      <c r="F7" s="239" t="s">
        <v>18</v>
      </c>
    </row>
    <row r="8" spans="2:9" x14ac:dyDescent="0.25">
      <c r="B8" s="238" t="s">
        <v>218</v>
      </c>
      <c r="C8" s="240" t="s">
        <v>219</v>
      </c>
      <c r="D8" s="240" t="s">
        <v>219</v>
      </c>
      <c r="E8" s="240" t="s">
        <v>226</v>
      </c>
      <c r="F8" s="240" t="s">
        <v>18</v>
      </c>
      <c r="G8" s="241" t="s">
        <v>220</v>
      </c>
    </row>
    <row r="9" spans="2:9" x14ac:dyDescent="0.25">
      <c r="C9" t="s">
        <v>228</v>
      </c>
      <c r="D9" t="s">
        <v>230</v>
      </c>
      <c r="E9" t="s">
        <v>227</v>
      </c>
    </row>
    <row r="10" spans="2:9" x14ac:dyDescent="0.25">
      <c r="B10" s="245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AFD9-BA73-4124-B4FD-E2995D41B67A}">
  <dimension ref="A1:K2"/>
  <sheetViews>
    <sheetView workbookViewId="0">
      <selection activeCell="B3" sqref="B3"/>
    </sheetView>
  </sheetViews>
  <sheetFormatPr defaultColWidth="11.42578125" defaultRowHeight="15" x14ac:dyDescent="0.25"/>
  <cols>
    <col min="4" max="4" width="12.42578125" customWidth="1"/>
    <col min="6" max="6" width="13.42578125" customWidth="1"/>
  </cols>
  <sheetData>
    <row r="1" spans="1:11" x14ac:dyDescent="0.25">
      <c r="A1" s="81" t="s">
        <v>7</v>
      </c>
      <c r="B1" s="81" t="s">
        <v>172</v>
      </c>
      <c r="C1" s="81" t="s">
        <v>173</v>
      </c>
      <c r="D1" s="81" t="s">
        <v>174</v>
      </c>
      <c r="E1" s="81" t="s">
        <v>221</v>
      </c>
      <c r="F1" s="81" t="s">
        <v>222</v>
      </c>
      <c r="G1" s="81" t="s">
        <v>223</v>
      </c>
      <c r="H1" s="81" t="s">
        <v>224</v>
      </c>
      <c r="I1" s="187" t="s">
        <v>177</v>
      </c>
      <c r="J1" s="81" t="s">
        <v>178</v>
      </c>
      <c r="K1" s="81" t="s">
        <v>36</v>
      </c>
    </row>
    <row r="2" spans="1:11" x14ac:dyDescent="0.25">
      <c r="A2" s="82" t="s">
        <v>225</v>
      </c>
      <c r="B2" s="82" t="s">
        <v>225</v>
      </c>
      <c r="C2" s="82" t="s">
        <v>225</v>
      </c>
      <c r="D2" s="82" t="s">
        <v>225</v>
      </c>
      <c r="E2" s="82" t="s">
        <v>225</v>
      </c>
      <c r="F2" s="82" t="s">
        <v>225</v>
      </c>
      <c r="G2" s="82" t="s">
        <v>225</v>
      </c>
      <c r="H2" s="82" t="s">
        <v>225</v>
      </c>
      <c r="I2" s="82" t="s">
        <v>225</v>
      </c>
      <c r="J2" s="82" t="s">
        <v>225</v>
      </c>
      <c r="K2" s="82" t="s">
        <v>225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ID xmlns="3579c6ec-8185-453e-8221-d7e033efc537">3203</ProjectID>
    <CompetenceCentre xmlns="3579c6ec-8185-453e-8221-d7e033efc537">Mertzwiller - Heatpumps</CompetenceCentre>
    <ProjectManager xmlns="3579c6ec-8185-453e-8221-d7e033efc537">SEBASTIEN OLSZAK</ProjectManager>
    <Deliverable xmlns="3579c6ec-8185-453e-8221-d7e033efc537">false</Deliverable>
    <ProductType xmlns="3579c6ec-8185-453e-8221-d7e033efc537">ASHP Monobloc</ProductType>
    <ProjectName xmlns="3579c6ec-8185-453e-8221-d7e033efc537">MB4R in-house development</ProjectName>
    <SharedWithUsers xmlns="3579c6ec-8185-453e-8221-d7e033efc537">
      <UserInfo>
        <DisplayName>Marie Liné</DisplayName>
        <AccountId>1425</AccountId>
        <AccountType/>
      </UserInfo>
      <UserInfo>
        <DisplayName>Christian Tönjes</DisplayName>
        <AccountId>1453</AccountId>
        <AccountType/>
      </UserInfo>
    </SharedWithUsers>
    <Stage xmlns="3579c6ec-8185-453e-8221-d7e033efc537" xsi:nil="true"/>
    <TaxCatchAll xmlns="96f29fa3-60d5-4ab9-82c4-4d93f9bd4cdc" xsi:nil="true"/>
    <lien xmlns="9664ba1a-d56f-4b7d-bf48-9426df7d789b">
      <Url xsi:nil="true"/>
      <Description xsi:nil="true"/>
    </lien>
    <lcf76f155ced4ddcb4097134ff3c332f xmlns="9664ba1a-d56f-4b7d-bf48-9426df7d789b">
      <Terms xmlns="http://schemas.microsoft.com/office/infopath/2007/PartnerControls"/>
    </lcf76f155ced4ddcb4097134ff3c332f>
    <Workstream xmlns="3579c6ec-8185-453e-8221-d7e033efc5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NPD Document" ma:contentTypeID="0x010100FDCEECB53331404DBA0A047D7C972001004434E21DEABC144191304570BADED866" ma:contentTypeVersion="28" ma:contentTypeDescription="NPD Document" ma:contentTypeScope="" ma:versionID="a5bb3b17744422e3d7ad199a53b8fc13">
  <xsd:schema xmlns:xsd="http://www.w3.org/2001/XMLSchema" xmlns:xs="http://www.w3.org/2001/XMLSchema" xmlns:p="http://schemas.microsoft.com/office/2006/metadata/properties" xmlns:ns2="3579c6ec-8185-453e-8221-d7e033efc537" xmlns:ns3="9664ba1a-d56f-4b7d-bf48-9426df7d789b" xmlns:ns4="96f29fa3-60d5-4ab9-82c4-4d93f9bd4cdc" targetNamespace="http://schemas.microsoft.com/office/2006/metadata/properties" ma:root="true" ma:fieldsID="6d21640d0f4f94f8fe04750a90fdf65a" ns2:_="" ns3:_="" ns4:_="">
    <xsd:import namespace="3579c6ec-8185-453e-8221-d7e033efc537"/>
    <xsd:import namespace="9664ba1a-d56f-4b7d-bf48-9426df7d789b"/>
    <xsd:import namespace="96f29fa3-60d5-4ab9-82c4-4d93f9bd4cdc"/>
    <xsd:element name="properties">
      <xsd:complexType>
        <xsd:sequence>
          <xsd:element name="documentManagement">
            <xsd:complexType>
              <xsd:all>
                <xsd:element ref="ns2:ProjectID" minOccurs="0"/>
                <xsd:element ref="ns2:ProjectName" minOccurs="0"/>
                <xsd:element ref="ns2:ProjectManager" minOccurs="0"/>
                <xsd:element ref="ns2:ProductType" minOccurs="0"/>
                <xsd:element ref="ns2:Stage" minOccurs="0"/>
                <xsd:element ref="ns2:Workstream" minOccurs="0"/>
                <xsd:element ref="ns2:CompetenceCentre" minOccurs="0"/>
                <xsd:element ref="ns2:Deliverabl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ien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9c6ec-8185-453e-8221-d7e033efc537" elementFormDefault="qualified">
    <xsd:import namespace="http://schemas.microsoft.com/office/2006/documentManagement/types"/>
    <xsd:import namespace="http://schemas.microsoft.com/office/infopath/2007/PartnerControls"/>
    <xsd:element name="ProjectID" ma:index="8" nillable="true" ma:displayName="Project ID" ma:default="3203" ma:internalName="ProjectID">
      <xsd:simpleType>
        <xsd:restriction base="dms:Text"/>
      </xsd:simpleType>
    </xsd:element>
    <xsd:element name="ProjectName" ma:index="9" nillable="true" ma:displayName="Project Name" ma:default="MB4R in-house development" ma:internalName="ProjectName">
      <xsd:simpleType>
        <xsd:restriction base="dms:Text"/>
      </xsd:simpleType>
    </xsd:element>
    <xsd:element name="ProjectManager" ma:index="10" nillable="true" ma:displayName="Project Manager" ma:default="SEBASTIEN OLSZAK" ma:internalName="ProjectManager">
      <xsd:simpleType>
        <xsd:restriction base="dms:Text"/>
      </xsd:simpleType>
    </xsd:element>
    <xsd:element name="ProductType" ma:index="11" nillable="true" ma:displayName="Product Type" ma:default="ASHP Monobloc" ma:internalName="ProductType">
      <xsd:simpleType>
        <xsd:restriction base="dms:Choice">
          <xsd:enumeration value="Boilers"/>
          <xsd:enumeration value="Wall Hung Boilers"/>
          <xsd:enumeration value="Commercial WHB"/>
          <xsd:enumeration value="Commercial WHB Standard Efficiency"/>
          <xsd:enumeration value="Commercial WHB High Efficiency"/>
          <xsd:enumeration value="Residential WHB"/>
          <xsd:enumeration value="Residential Gas WHB Standard Efficiency"/>
          <xsd:enumeration value="Residential Gas WHB High Efficiency"/>
          <xsd:enumeration value="Residential Oil High Efficiency"/>
          <xsd:enumeration value="Electric Flow Boilers"/>
          <xsd:enumeration value="Floor Standing Boilers"/>
          <xsd:enumeration value="Commercial FSB"/>
          <xsd:enumeration value="Commercial Gas FSB Standard Efficiency"/>
          <xsd:enumeration value="Commercial Gas FSB high Efficiency"/>
          <xsd:enumeration value="Commercial Jet Burner Standard Efficiency"/>
          <xsd:enumeration value="Commercial Jet Burner High Efficiency"/>
          <xsd:enumeration value="Residential FSB"/>
          <xsd:enumeration value="Residential Gas FSB Standard Efficiency"/>
          <xsd:enumeration value="Residential Gas FSB High Efficiency"/>
          <xsd:enumeration value="Residential Jet Burner Standard Efficiency"/>
          <xsd:enumeration value="Residential Jet Burner High Efficiency"/>
          <xsd:enumeration value="Back Boiler Units High Efficiency"/>
          <xsd:enumeration value="Renewables"/>
          <xsd:enumeration value="Heat Pumps"/>
          <xsd:enumeration value="Gas Heat Pumps"/>
          <xsd:enumeration value="Gas Heat Pumps -total input"/>
          <xsd:enumeration value="Gas Heat Pumps - Commercial"/>
          <xsd:enumeration value="Gas Driven Heat Pumps Commercial &gt;18kW"/>
          <xsd:enumeration value="Gas Heat Pumps - Residential"/>
          <xsd:enumeration value="Gas Driven Heat Pumps Residential 18kW"/>
          <xsd:enumeration value="Electrical Ground Source HP"/>
          <xsd:enumeration value="Electrical Ground Source Heat Pumps - total input"/>
          <xsd:enumeration value="Electrical Ground Source HP - Commercial"/>
          <xsd:enumeration value="Commercial Ground Source HP"/>
          <xsd:enumeration value="Electrical Ground Source HP - Residential"/>
          <xsd:enumeration value="Direct Expansion"/>
          <xsd:enumeration value="GSHP Column"/>
          <xsd:enumeration value="GSHP"/>
          <xsd:enumeration value="Electrical Air Source HP"/>
          <xsd:enumeration value="Electrical Air Source Heat Pumps - total input"/>
          <xsd:enumeration value="Electrical Air Source HP - Commercial"/>
          <xsd:enumeration value="Commercial Air Source Heat Pumps"/>
          <xsd:enumeration value="Electrical Air Source HP - Residential"/>
          <xsd:enumeration value="Hybrid HP"/>
          <xsd:enumeration value="Monobloc ASHP / Oil Hybrid"/>
          <xsd:enumeration value="Split ASHP / Oil Hybrid"/>
          <xsd:enumeration value="Monobloc ASHP / Gas Hybrid"/>
          <xsd:enumeration value="Split ASHP / Gas Hybrid"/>
          <xsd:enumeration value="Outdoor Units ASHP"/>
          <xsd:enumeration value="ASHP Monobloc"/>
          <xsd:enumeration value="ASHP Monobloc (Including Hydrotower)"/>
          <xsd:enumeration value="ASHP Monobloc (Various trade)"/>
          <xsd:enumeration value="ASHP Split"/>
          <xsd:enumeration value="IDU2FS"/>
          <xsd:enumeration value="IDU3 FS (Column (MIV4) 2018)"/>
          <xsd:enumeration value="New Build Tank Accessory Alezio"/>
          <xsd:enumeration value="IDU2 WH"/>
          <xsd:enumeration value="IDU3 WH"/>
          <xsd:enumeration value="Solar Collectors"/>
          <xsd:enumeration value="PhotovoltaÃ¯c modules"/>
          <xsd:enumeration value="Thermosyphon Systems"/>
          <xsd:enumeration value="Thermal collectors Thermosyphon (Volume only)"/>
          <xsd:enumeration value="Thermal collectors"/>
          <xsd:enumeration value="Combined Heat &amp; Power"/>
          <xsd:enumeration value="Commercial mCHP"/>
          <xsd:enumeration value="Residential mCHP"/>
          <xsd:enumeration value="Residential mCHP (Fuel cell)"/>
          <xsd:enumeration value="Residential mCHP (Stirling)"/>
          <xsd:enumeration value="Solid Fuel/Biomass"/>
          <xsd:enumeration value="Commercial SF/Biomass"/>
          <xsd:enumeration value="Residential SF/Biomass"/>
          <xsd:enumeration value="Other Products"/>
          <xsd:enumeration value="Water heaters"/>
          <xsd:enumeration value="Solar Tanks"/>
          <xsd:enumeration value="Solar Tanks - Commercial"/>
          <xsd:enumeration value="Solar Tanks - Residential"/>
          <xsd:enumeration value="Unvented Cylinders"/>
          <xsd:enumeration value="Unvented Cylinders - Commercial"/>
          <xsd:enumeration value="Unvented Cylinders - Residential"/>
          <xsd:enumeration value="Gas Water Heaters"/>
          <xsd:enumeration value="Gas Water Heaters - Commercial"/>
          <xsd:enumeration value="Gas Water Heaters - Residential"/>
          <xsd:enumeration value="Electrical Water Heaters"/>
          <xsd:enumeration value="Storage Tanks and Cylinders"/>
          <xsd:enumeration value="Storage Tanks and Cylinders - Commercial"/>
          <xsd:enumeration value="Storage Tanks and Cylinders - Residential"/>
          <xsd:enumeration value="Water Heater Heat Pumps (TWH)"/>
          <xsd:enumeration value="Water Heater Heat Pumps (TWH) - total input"/>
          <xsd:enumeration value="Water Heater Heat Pumps (TWH) - Commercial"/>
          <xsd:enumeration value="Commercial Water Heater Heat Pumps (TWH)"/>
          <xsd:enumeration value="Water Heater Heat Pumps (TWH) - Residential"/>
          <xsd:enumeration value="TWH Split FS"/>
          <xsd:enumeration value="TWH Split WH"/>
          <xsd:enumeration value="Outdoor Units TWH"/>
          <xsd:enumeration value="TWH Column WH Small Capacity"/>
          <xsd:enumeration value="TWH Column FS Entry"/>
          <xsd:enumeration value="TWH Cloumn FS VMC"/>
          <xsd:enumeration value="TWH Column FS Premium"/>
          <xsd:enumeration value="Other Water Heaters"/>
          <xsd:enumeration value="Other Water Heaters - Commercial"/>
          <xsd:enumeration value="Other Water Heaters - Residential"/>
          <xsd:enumeration value="Radiators"/>
          <xsd:enumeration value="Towel Warmers"/>
          <xsd:enumeration value="Cast Iron Radiators"/>
          <xsd:enumeration value="Aluminium Radiators"/>
          <xsd:enumeration value="Steel Radiators"/>
          <xsd:enumeration value="Steel Panel Radiators"/>
          <xsd:enumeration value="Other Radiators"/>
          <xsd:enumeration value="Burners"/>
          <xsd:enumeration value="Commercial Burners"/>
          <xsd:enumeration value="Residential Burners"/>
          <xsd:enumeration value="Fires"/>
          <xsd:enumeration value="Electrical"/>
          <xsd:enumeration value="Gas"/>
          <xsd:enumeration value="Other fires"/>
          <xsd:enumeration value="Accessories"/>
          <xsd:enumeration value="Radiator Accesories"/>
          <xsd:enumeration value="Heat Pump Accessories"/>
          <xsd:enumeration value="Solar Accessories"/>
          <xsd:enumeration value="Controls and Room Stats"/>
          <xsd:enumeration value="Other Boiler Accessories"/>
          <xsd:enumeration value="Flue Pipes"/>
          <xsd:enumeration value="Other"/>
          <xsd:enumeration value="Components"/>
          <xsd:enumeration value="Spare Parts"/>
          <xsd:enumeration value="Other Products"/>
          <xsd:enumeration value="Oil Furnaces"/>
          <xsd:enumeration value="Commercial Heatboxes"/>
          <xsd:enumeration value="Air conditioners"/>
          <xsd:enumeration value="Other Income"/>
          <xsd:enumeration value="Service income"/>
          <xsd:enumeration value="Other income"/>
        </xsd:restriction>
      </xsd:simpleType>
    </xsd:element>
    <xsd:element name="Stage" ma:index="12" nillable="true" ma:displayName="Stage" ma:indexed="true" ma:internalName="Stage">
      <xsd:simpleType>
        <xsd:restriction base="dms:Choice">
          <xsd:enumeration value="0. Customer need"/>
          <xsd:enumeration value="1. Product definition"/>
          <xsd:enumeration value="2. Design concept"/>
          <xsd:enumeration value="3. Design assessment"/>
          <xsd:enumeration value="4. Design completion"/>
          <xsd:enumeration value="5. Industrialisation"/>
          <xsd:enumeration value="6. Validation"/>
          <xsd:enumeration value="7. Launch preparation"/>
          <xsd:enumeration value="8. Post launch"/>
        </xsd:restriction>
      </xsd:simpleType>
    </xsd:element>
    <xsd:element name="Workstream" ma:index="13" nillable="true" ma:displayName="Workstream" ma:indexed="true" ma:internalName="Workstream">
      <xsd:simpleType>
        <xsd:restriction base="dms:Choice">
          <xsd:enumeration value="a. Voice of the customer"/>
          <xsd:enumeration value="b. Business case"/>
          <xsd:enumeration value="c. Concept development"/>
          <xsd:enumeration value="d. Product validation"/>
          <xsd:enumeration value="e. Supply chain management"/>
          <xsd:enumeration value="f. Industrialisation"/>
          <xsd:enumeration value="g. Preparation for launch"/>
          <xsd:enumeration value="h. Project Co-ordination"/>
        </xsd:restriction>
      </xsd:simpleType>
    </xsd:element>
    <xsd:element name="CompetenceCentre" ma:index="14" nillable="true" ma:displayName="Competence Centre" ma:default="Mertzwiller - Heatpumps" ma:internalName="CompetenceCentre">
      <xsd:simpleType>
        <xsd:restriction base="dms:Choice">
          <xsd:enumeration value="Apeldoorn - Digital, Controls &amp; Architecture"/>
          <xsd:enumeration value="Apeldoorn - Gas Boilers"/>
          <xsd:enumeration value="Barcelona - Solar"/>
          <xsd:enumeration value="Bassano - Gas Boilers"/>
          <xsd:enumeration value="Hamburg - Fuel Cells"/>
          <xsd:enumeration value="Istanbul - Support Centre Gas &amp; Oil Boilers"/>
          <xsd:enumeration value="Mertzwiller - Digital, Controls &amp; Architecture"/>
          <xsd:enumeration value="Mertzwiller - Enameelled Tanks"/>
          <xsd:enumeration value="Mertzwiller - Heatpumps"/>
          <xsd:enumeration value="Norwich - St.st. Tanks &amp; EWT"/>
          <xsd:enumeration value="Preston - Support Centre Gas &amp; Oil Boilers"/>
          <xsd:enumeration value="Rastede - Support Centre Gas &amp; Oil Boilers"/>
          <xsd:enumeration value="Schweinfurt - CHP"/>
          <xsd:enumeration value="Shanghai - Support Centre Gas &amp; Oil Boilers"/>
          <xsd:enumeration value="Wokingham - UK Commercial"/>
        </xsd:restriction>
      </xsd:simpleType>
    </xsd:element>
    <xsd:element name="Deliverable" ma:index="15" nillable="true" ma:displayName="Deliverable" ma:default="False" ma:internalName="Deliverable">
      <xsd:simpleType>
        <xsd:restriction base="dms:Boolean"/>
      </xsd:simple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4ba1a-d56f-4b7d-bf48-9426df7d7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ien" ma:index="28" nillable="true" ma:displayName="lien" ma:format="Hyperlink" ma:internalName="lie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30" nillable="true" ma:taxonomy="true" ma:internalName="lcf76f155ced4ddcb4097134ff3c332f" ma:taxonomyFieldName="MediaServiceImageTags" ma:displayName="Bildmarkierungen" ma:readOnly="false" ma:fieldId="{5cf76f15-5ced-4ddc-b409-7134ff3c332f}" ma:taxonomyMulti="true" ma:sspId="91241e69-c7a6-468d-bbd8-1f604571f0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29fa3-60d5-4ab9-82c4-4d93f9bd4cdc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3f23bf95-8282-4608-b462-f2153ff45c72}" ma:internalName="TaxCatchAll" ma:showField="CatchAllData" ma:web="3579c6ec-8185-453e-8221-d7e033efc5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14E92-BEA9-41C2-8857-E3AA5EF4DDF5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96f29fa3-60d5-4ab9-82c4-4d93f9bd4cdc"/>
    <ds:schemaRef ds:uri="3579c6ec-8185-453e-8221-d7e033efc537"/>
    <ds:schemaRef ds:uri="9664ba1a-d56f-4b7d-bf48-9426df7d789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60DEDE-02D5-4CE5-BCBC-A1E3D2092B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FFC43C-49A3-4EE0-93B3-011D0F49A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9c6ec-8185-453e-8221-d7e033efc537"/>
    <ds:schemaRef ds:uri="9664ba1a-d56f-4b7d-bf48-9426df7d789b"/>
    <ds:schemaRef ds:uri="96f29fa3-60d5-4ab9-82c4-4d93f9bd4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README</vt:lpstr>
      <vt:lpstr>Heating seasonal</vt:lpstr>
      <vt:lpstr>Nominal values</vt:lpstr>
      <vt:lpstr>Product fiche heating</vt:lpstr>
      <vt:lpstr>Product fiche cooling</vt:lpstr>
      <vt:lpstr>Heating performance data</vt:lpstr>
      <vt:lpstr>Usage limits</vt:lpstr>
      <vt:lpstr>Capacity database</vt:lpstr>
      <vt:lpstr>Cooling performance data</vt:lpstr>
      <vt:lpstr>Hydraulics</vt:lpstr>
      <vt:lpstr>Defrost</vt:lpstr>
      <vt:lpstr>_PARAM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MOCHEL Loïc</dc:creator>
  <cp:keywords/>
  <dc:description/>
  <cp:lastModifiedBy>DMITRY</cp:lastModifiedBy>
  <cp:revision/>
  <dcterms:created xsi:type="dcterms:W3CDTF">2015-06-05T18:19:34Z</dcterms:created>
  <dcterms:modified xsi:type="dcterms:W3CDTF">2024-09-05T17:43:24Z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0x010100FDCEECB53331404DBA0A047D7C972001004434E21DEABC144191304570BADED866</vt:lpwstr>
  </property>
  <property fmtid="{D5CDD505-2E9C-101B-9397-08002B2CF9AE}" pid="3" name="MediaServiceImageTags">
    <vt:lpwstr/>
  </property>
</Properties>
</file>