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analysis" sheetId="1" r:id="rId4"/>
    <sheet state="visible" name="Smart&amp;Start Italia" sheetId="2" r:id="rId5"/>
    <sheet state="visible" name="User Plan" sheetId="3" r:id="rId6"/>
  </sheets>
  <definedNames/>
  <calcPr/>
  <extLst>
    <ext uri="GoogleSheetsCustomDataVersion2">
      <go:sheetsCustomData xmlns:go="http://customooxmlschemas.google.com/" r:id="rId7" roundtripDataChecksum="gPs2OjSpi+h14oWMCtaTpyMbNzDAsZ9fpGxGc6H+xxY="/>
    </ext>
  </extLst>
</workbook>
</file>

<file path=xl/sharedStrings.xml><?xml version="1.0" encoding="utf-8"?>
<sst xmlns="http://schemas.openxmlformats.org/spreadsheetml/2006/main" count="84" uniqueCount="70">
  <si>
    <t>Financial Analysis for SUSTAINER</t>
  </si>
  <si>
    <t>Created by: Alfonso Cannavale, Antonio Scognamiglio, Domenico Antonio Gioia</t>
  </si>
  <si>
    <t>Date: 16/10/2023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</si>
  <si>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</si>
  <si>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</si>
  <si>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</si>
  <si>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</si>
  <si>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</si>
  <si>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</si>
  <si>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</si>
  <si>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</si>
  <si>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</si>
  <si>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</si>
  <si>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</si>
  <si>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</si>
  <si>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</si>
  <si>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Payback in Year 2</t>
  </si>
  <si>
    <t>Assumptions</t>
  </si>
  <si>
    <t>Cost</t>
  </si>
  <si>
    <t>Project Manager (320 hours, 27€/hour, 3 PM)</t>
  </si>
  <si>
    <t>Team Member (320 hours, 18€/hour, 8 TM)</t>
  </si>
  <si>
    <t>Dedicated server for ML model training</t>
  </si>
  <si>
    <t>Advertising</t>
  </si>
  <si>
    <t>Domain</t>
  </si>
  <si>
    <t>Total Project costs without annual financing installment</t>
  </si>
  <si>
    <t>Total Project costs (all applied in year 0)</t>
  </si>
  <si>
    <t>Maintenance</t>
  </si>
  <si>
    <t>Customer Service</t>
  </si>
  <si>
    <t>Total Project costs (all applied from year 1)</t>
  </si>
  <si>
    <t>Projected benefits for year 0</t>
  </si>
  <si>
    <t>Projected benefits for year 1</t>
  </si>
  <si>
    <t>Projected benefits for year 2</t>
  </si>
  <si>
    <t>Projected benefits for year 3</t>
  </si>
  <si>
    <t>Smart&amp;Start Italia Financing</t>
  </si>
  <si>
    <t>Smart&amp;Start Italy finances business plans, ranging from 100 thousand euros to 1.5 million euros</t>
  </si>
  <si>
    <t>Facilitated financing (%)</t>
  </si>
  <si>
    <t>non-repayable fund (%)</t>
  </si>
  <si>
    <t>Total amount requested</t>
  </si>
  <si>
    <t>Unfunded amount</t>
  </si>
  <si>
    <t>Total amount subject to funding</t>
  </si>
  <si>
    <t>Non-refundable amount</t>
  </si>
  <si>
    <t>Amount to be returned</t>
  </si>
  <si>
    <t>Monthly financing installment over 4 years</t>
  </si>
  <si>
    <t>Annual financing installment</t>
  </si>
  <si>
    <t>User Plan</t>
  </si>
  <si>
    <t>User Plan for SUSTAINER</t>
  </si>
  <si>
    <t>Free</t>
  </si>
  <si>
    <t>Standard</t>
  </si>
  <si>
    <t>Premium</t>
  </si>
  <si>
    <t>Business</t>
  </si>
  <si>
    <t>Enterprise</t>
  </si>
  <si>
    <t>Average user turnout year 0</t>
  </si>
  <si>
    <t>Monthly cost</t>
  </si>
  <si>
    <t xml:space="preserve">Contact SUSTAINER - Average Price = </t>
  </si>
  <si>
    <t>Annual cost</t>
  </si>
  <si>
    <t>User turnout (%)</t>
  </si>
  <si>
    <t>Average user turnout year 1</t>
  </si>
  <si>
    <t>BENEFIT YEAR 0</t>
  </si>
  <si>
    <t>User turnout</t>
  </si>
  <si>
    <t>0.01% of 1.7 million</t>
  </si>
  <si>
    <t>Advertising gain</t>
  </si>
  <si>
    <t>Average user turnout year 2</t>
  </si>
  <si>
    <t>Annual gain from plans</t>
  </si>
  <si>
    <t>0.03% of 1.7 million</t>
  </si>
  <si>
    <t>Totatl Benefits</t>
  </si>
  <si>
    <t>Average user turnout year 3</t>
  </si>
  <si>
    <t>0.05% of 1.7 million</t>
  </si>
  <si>
    <t>BENEFIT YEAR 1</t>
  </si>
  <si>
    <t>BENEFIT YEAR 2</t>
  </si>
  <si>
    <t>BENEFIT YEAR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</si>
</sst>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[$€-2]\ #,##0.00"/>
    <numFmt numFmtId="166" formatCode="#,##0&quot;€&quot;"/>
  </numFmts>
  <fonts count="17">
    <font>
      <sz val="10.0"/>
      <color rgb="FF000000"/>
      <name val="Arial"/>
      <scheme val="minor"/>
    </font>
    <font>
      <b/>
      <sz val="18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B050"/>
      <name val="Arial"/>
    </font>
    <font>
      <color theme="1"/>
      <name val="Arial"/>
      <scheme val="minor"/>
    </font>
    <font>
      <b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color theme="1"/>
      <name val="Arial"/>
      <scheme val="minor"/>
    </font>
    <font>
      <b/>
      <sz val="14.0"/>
      <color theme="1"/>
      <name val="Arial"/>
      <scheme val="minor"/>
    </font>
    <font>
      <b/>
      <color rgb="FF00B050"/>
      <name val="Arial"/>
      <scheme val="minor"/>
    </font>
    <font>
      <b/>
      <color rgb="FFFF0000"/>
      <name val="Arial"/>
      <scheme val="minor"/>
    </font>
    <font>
      <b/>
      <color rgb="FF0000FF"/>
      <name val="Arial"/>
      <scheme val="minor"/>
    </font>
    <font>
      <color rgb="FF000000"/>
      <name val="Arial"/>
    </font>
    <font>
      <b/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10" xfId="0" applyAlignment="1" applyFont="1" applyNumberFormat="1">
      <alignment readingOrder="0"/>
    </xf>
    <xf borderId="0" fillId="0" fontId="4" numFmtId="9" xfId="0" applyFont="1" applyNumberFormat="1"/>
    <xf borderId="0" fillId="0" fontId="6" numFmtId="0" xfId="0" applyFont="1"/>
    <xf borderId="0" fillId="0" fontId="5" numFmtId="0" xfId="0" applyFont="1"/>
    <xf borderId="0" fillId="0" fontId="5" numFmtId="3" xfId="0" applyFont="1" applyNumberFormat="1"/>
    <xf borderId="0" fillId="0" fontId="5" numFmtId="3" xfId="0" applyAlignment="1" applyFont="1" applyNumberFormat="1">
      <alignment readingOrder="0"/>
    </xf>
    <xf borderId="0" fillId="0" fontId="3" numFmtId="2" xfId="0" applyFont="1" applyNumberFormat="1"/>
    <xf borderId="0" fillId="0" fontId="4" numFmtId="164" xfId="0" applyFont="1" applyNumberFormat="1"/>
    <xf borderId="0" fillId="0" fontId="5" numFmtId="37" xfId="0" applyFont="1" applyNumberFormat="1"/>
    <xf borderId="0" fillId="0" fontId="3" numFmtId="164" xfId="0" applyFont="1" applyNumberForma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3" xfId="0" applyAlignment="1" applyFont="1" applyNumberFormat="1">
      <alignment readingOrder="0"/>
    </xf>
    <xf borderId="0" fillId="0" fontId="9" numFmtId="3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165" xfId="0" applyFont="1" applyNumberFormat="1"/>
    <xf borderId="0" fillId="0" fontId="10" numFmtId="0" xfId="0" applyAlignment="1" applyFont="1">
      <alignment horizontal="center" readingOrder="0"/>
    </xf>
    <xf borderId="0" fillId="0" fontId="10" numFmtId="165" xfId="0" applyFont="1" applyNumberFormat="1"/>
    <xf borderId="0" fillId="0" fontId="10" numFmtId="165" xfId="0" applyAlignment="1" applyFont="1" applyNumberFormat="1">
      <alignment horizontal="center"/>
    </xf>
    <xf borderId="0" fillId="0" fontId="12" numFmtId="0" xfId="0" applyAlignment="1" applyFont="1">
      <alignment readingOrder="0"/>
    </xf>
    <xf borderId="0" fillId="0" fontId="12" numFmtId="165" xfId="0" applyFont="1" applyNumberFormat="1"/>
    <xf borderId="0" fillId="0" fontId="13" numFmtId="0" xfId="0" applyAlignment="1" applyFont="1">
      <alignment readingOrder="0"/>
    </xf>
    <xf borderId="0" fillId="0" fontId="13" numFmtId="165" xfId="0" applyFont="1" applyNumberFormat="1"/>
    <xf borderId="0" fillId="0" fontId="14" numFmtId="0" xfId="0" applyAlignment="1" applyFont="1">
      <alignment readingOrder="0"/>
    </xf>
    <xf borderId="0" fillId="0" fontId="14" numFmtId="165" xfId="0" applyFont="1" applyNumberFormat="1"/>
    <xf borderId="0" fillId="0" fontId="6" numFmtId="166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166" xfId="0" applyAlignment="1" applyFont="1" applyNumberFormat="1">
      <alignment readingOrder="0"/>
    </xf>
    <xf borderId="0" fillId="2" fontId="15" numFmtId="0" xfId="0" applyAlignment="1" applyFill="1" applyFont="1">
      <alignment horizontal="center" readingOrder="0"/>
    </xf>
    <xf borderId="0" fillId="0" fontId="6" numFmtId="166" xfId="0" applyAlignment="1" applyFont="1" applyNumberFormat="1">
      <alignment horizontal="center"/>
    </xf>
    <xf borderId="0" fillId="0" fontId="16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165" xfId="0" applyAlignment="1" applyFont="1" applyNumberFormat="1">
      <alignment horizontal="center" readingOrder="0"/>
    </xf>
    <xf borderId="0" fillId="0" fontId="6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15</xdr:row>
      <xdr:rowOff>66675</xdr:rowOff>
    </xdr:from>
    <xdr:ext cx="276225" cy="38100"/>
    <xdr:grpSp>
      <xdr:nvGrpSpPr>
        <xdr:cNvPr id="2" name="Shape 2" title="Disegno"/>
        <xdr:cNvGrpSpPr/>
      </xdr:nvGrpSpPr>
      <xdr:grpSpPr>
        <a:xfrm>
          <a:off x="5207888" y="3780000"/>
          <a:ext cx="276225" cy="0"/>
          <a:chOff x="5207888" y="3780000"/>
          <a:chExt cx="276225" cy="0"/>
        </a:xfrm>
      </xdr:grpSpPr>
      <xdr:cxnSp>
        <xdr:nvCxnSpPr>
          <xdr:cNvPr id="3" name="Shape 3"/>
          <xdr:cNvCxnSpPr/>
        </xdr:nvCxnSpPr>
        <xdr:spPr>
          <a:xfrm rot="10800000">
            <a:off x="5207888" y="3780000"/>
            <a:ext cx="2762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352425</xdr:colOff>
      <xdr:row>18</xdr:row>
      <xdr:rowOff>66675</xdr:rowOff>
    </xdr:from>
    <xdr:ext cx="2019300" cy="38100"/>
    <xdr:grpSp>
      <xdr:nvGrpSpPr>
        <xdr:cNvPr id="2" name="Shape 2"/>
        <xdr:cNvGrpSpPr/>
      </xdr:nvGrpSpPr>
      <xdr:grpSpPr>
        <a:xfrm>
          <a:off x="4336350" y="3780000"/>
          <a:ext cx="2019300" cy="0"/>
          <a:chOff x="4336350" y="3780000"/>
          <a:chExt cx="2019300" cy="0"/>
        </a:xfrm>
      </xdr:grpSpPr>
      <xdr:cxnSp>
        <xdr:nvCxnSpPr>
          <xdr:cNvPr id="4" name="Shape 4"/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276225</xdr:colOff>
      <xdr:row>17</xdr:row>
      <xdr:rowOff>28575</xdr:rowOff>
    </xdr:from>
    <xdr:ext cx="19050" cy="276225"/>
    <xdr:grpSp>
      <xdr:nvGrpSpPr>
        <xdr:cNvPr id="5" name="Shape 5" title="Disegno"/>
        <xdr:cNvGrpSpPr/>
      </xdr:nvGrpSpPr>
      <xdr:grpSpPr>
        <a:xfrm>
          <a:off x="3986900" y="976650"/>
          <a:ext cx="0" cy="261600"/>
          <a:chOff x="3986900" y="976650"/>
          <a:chExt cx="0" cy="261600"/>
        </a:xfrm>
      </xdr:grpSpPr>
      <xdr:cxnSp>
        <xdr:nvCxnSpPr>
          <xdr:cNvPr id="6" name="Shape 6"/>
          <xdr:cNvCxnSpPr/>
        </xdr:nvCxnSpPr>
        <xdr:spPr>
          <a:xfrm rot="10800000">
            <a:off x="3986900" y="976650"/>
            <a:ext cx="0" cy="261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58.88"/>
    <col customWidth="1" min="2" max="2" width="11.38"/>
    <col customWidth="1" min="3" max="5" width="8.75"/>
    <col customWidth="1" min="6" max="6" width="10.38"/>
    <col customWidth="1" min="7" max="26" width="8.63"/>
  </cols>
  <sheetData>
    <row r="1" ht="12.75" customHeight="1">
      <c r="A1" s="1" t="s">
        <v>0</v>
      </c>
    </row>
    <row r="2" ht="12.75" customHeight="1">
      <c r="A2" s="2" t="s">
        <v>1</v>
      </c>
      <c r="B2" s="3"/>
      <c r="D2" s="4"/>
      <c r="E2" s="4"/>
      <c r="G2" s="2" t="s">
        <v>2</v>
      </c>
    </row>
    <row r="3" ht="12.75" customHeight="1">
      <c r="A3" s="5"/>
      <c r="B3" s="5"/>
      <c r="C3" s="5"/>
      <c r="D3" s="5"/>
      <c r="E3" s="5"/>
      <c r="F3" s="5"/>
      <c r="G3" s="5"/>
    </row>
    <row r="4" ht="12.75" customHeight="1">
      <c r="A4" s="6" t="s">
        <v>3</v>
      </c>
      <c r="B4" s="7">
        <v>0.11</v>
      </c>
    </row>
    <row r="5" ht="12.75" customHeight="1">
      <c r="A5" s="6"/>
      <c r="B5" s="8"/>
    </row>
    <row r="6" ht="12.75" customHeight="1">
      <c r="A6" s="9" t="s">
        <v>4</v>
      </c>
      <c r="D6" s="6" t="s">
        <v>5</v>
      </c>
      <c r="F6" s="6"/>
    </row>
    <row r="7" ht="12.75" customHeight="1">
      <c r="B7" s="10">
        <v>0.0</v>
      </c>
      <c r="C7" s="10">
        <v>1.0</v>
      </c>
      <c r="D7" s="10">
        <v>2.0</v>
      </c>
      <c r="E7" s="10">
        <v>3.0</v>
      </c>
      <c r="F7" s="6" t="s">
        <v>6</v>
      </c>
    </row>
    <row r="8" ht="12.75" customHeight="1">
      <c r="A8" s="9" t="s">
        <v>7</v>
      </c>
      <c r="B8" s="11">
        <f>B34</f>
        <v>22163.025</v>
      </c>
      <c r="C8" s="12">
        <f>B39</f>
        <v>46626.025</v>
      </c>
      <c r="D8" s="12">
        <f>B39</f>
        <v>46626.025</v>
      </c>
      <c r="E8" s="12">
        <f>B39</f>
        <v>46626.025</v>
      </c>
    </row>
    <row r="9" ht="12.75" customHeight="1">
      <c r="A9" s="9" t="s">
        <v>8</v>
      </c>
      <c r="B9" s="13">
        <f t="shared" ref="B9:E9" si="1">ROUND(1/(1+$B$4)^B$7,2)</f>
        <v>1</v>
      </c>
      <c r="C9" s="13">
        <f t="shared" si="1"/>
        <v>0.9</v>
      </c>
      <c r="D9" s="13">
        <f t="shared" si="1"/>
        <v>0.81</v>
      </c>
      <c r="E9" s="13">
        <f t="shared" si="1"/>
        <v>0.73</v>
      </c>
    </row>
    <row r="10" ht="12.75" customHeight="1">
      <c r="A10" s="6" t="s">
        <v>9</v>
      </c>
      <c r="B10" s="14">
        <f t="shared" ref="B10:E10" si="2">B8*B9</f>
        <v>22163.025</v>
      </c>
      <c r="C10" s="14">
        <f t="shared" si="2"/>
        <v>41963.4225</v>
      </c>
      <c r="D10" s="14">
        <f t="shared" si="2"/>
        <v>37767.08025</v>
      </c>
      <c r="E10" s="14">
        <f t="shared" si="2"/>
        <v>34036.99825</v>
      </c>
      <c r="F10" s="14">
        <f>SUM(B10:E10)</f>
        <v>135930.526</v>
      </c>
    </row>
    <row r="11" ht="12.75" customHeight="1"/>
    <row r="12" ht="12.75" customHeight="1">
      <c r="A12" s="9" t="s">
        <v>10</v>
      </c>
      <c r="B12" s="15">
        <f>B43</f>
        <v>17426.4</v>
      </c>
      <c r="C12" s="15">
        <f>B44</f>
        <v>49374.8</v>
      </c>
      <c r="D12" s="15">
        <f>B45</f>
        <v>148124.4</v>
      </c>
      <c r="E12" s="15">
        <f>B46</f>
        <v>246874</v>
      </c>
    </row>
    <row r="13" ht="12.75" customHeight="1">
      <c r="A13" s="9" t="s">
        <v>8</v>
      </c>
      <c r="B13" s="13">
        <f t="shared" ref="B13:E13" si="3">ROUND(1/(1+$B$4)^B$7,2)</f>
        <v>1</v>
      </c>
      <c r="C13" s="13">
        <f t="shared" si="3"/>
        <v>0.9</v>
      </c>
      <c r="D13" s="13">
        <f t="shared" si="3"/>
        <v>0.81</v>
      </c>
      <c r="E13" s="13">
        <f t="shared" si="3"/>
        <v>0.73</v>
      </c>
    </row>
    <row r="14" ht="12.75" customHeight="1">
      <c r="A14" s="6" t="s">
        <v>11</v>
      </c>
      <c r="B14" s="6">
        <f t="shared" ref="B14:E14" si="4">B12*B13</f>
        <v>17426.4</v>
      </c>
      <c r="C14" s="14">
        <f t="shared" si="4"/>
        <v>44437.32</v>
      </c>
      <c r="D14" s="14">
        <f t="shared" si="4"/>
        <v>119980.764</v>
      </c>
      <c r="E14" s="14">
        <f t="shared" si="4"/>
        <v>180218.02</v>
      </c>
      <c r="F14" s="14">
        <f>SUM(B14:E14)</f>
        <v>362062.504</v>
      </c>
    </row>
    <row r="15" ht="12.75" customHeight="1"/>
    <row r="16" ht="12.75" customHeight="1">
      <c r="A16" s="9" t="s">
        <v>12</v>
      </c>
      <c r="B16" s="16">
        <f t="shared" ref="B16:F16" si="5">B14-B10</f>
        <v>-4736.625</v>
      </c>
      <c r="C16" s="16">
        <f t="shared" si="5"/>
        <v>2473.8975</v>
      </c>
      <c r="D16" s="16">
        <f t="shared" si="5"/>
        <v>82213.68375</v>
      </c>
      <c r="E16" s="16">
        <f t="shared" si="5"/>
        <v>146181.0218</v>
      </c>
      <c r="F16" s="14">
        <f t="shared" si="5"/>
        <v>226131.978</v>
      </c>
      <c r="G16" s="17" t="s">
        <v>13</v>
      </c>
    </row>
    <row r="17" ht="12.75" customHeight="1">
      <c r="A17" s="9" t="s">
        <v>14</v>
      </c>
      <c r="B17" s="16">
        <f>B16</f>
        <v>-4736.625</v>
      </c>
      <c r="C17" s="16">
        <f t="shared" ref="C17:E17" si="6">B17+C16</f>
        <v>-2262.7275</v>
      </c>
      <c r="D17" s="16">
        <f t="shared" si="6"/>
        <v>79950.95625</v>
      </c>
      <c r="E17" s="16">
        <f t="shared" si="6"/>
        <v>226131.978</v>
      </c>
    </row>
    <row r="18" ht="12.75" customHeight="1"/>
    <row r="19" ht="12.75" customHeight="1">
      <c r="A19" s="6" t="s">
        <v>15</v>
      </c>
      <c r="B19" s="8">
        <f>(F14-F10)/F10</f>
        <v>1.663584955</v>
      </c>
    </row>
    <row r="20" ht="12.75" customHeight="1">
      <c r="C20" s="18" t="s">
        <v>16</v>
      </c>
    </row>
    <row r="21" ht="12.75" customHeight="1">
      <c r="A21" s="6" t="s">
        <v>17</v>
      </c>
    </row>
    <row r="22" ht="12.75" customHeight="1"/>
    <row r="23" ht="12.75" customHeight="1">
      <c r="A23" s="19" t="s">
        <v>18</v>
      </c>
    </row>
    <row r="24" ht="12.75" customHeight="1">
      <c r="A24" s="20" t="s">
        <v>19</v>
      </c>
      <c r="B24" s="21">
        <f>4*5*16*27*3</f>
        <v>25920</v>
      </c>
    </row>
    <row r="25" ht="12.75" customHeight="1">
      <c r="A25" s="20" t="s">
        <v>20</v>
      </c>
      <c r="B25" s="21">
        <f>4*5*16*18*8</f>
        <v>46080</v>
      </c>
    </row>
    <row r="26" ht="12.75" customHeight="1">
      <c r="A26" s="20"/>
    </row>
    <row r="27" ht="12.75" customHeight="1">
      <c r="A27" s="20" t="s">
        <v>21</v>
      </c>
      <c r="B27" s="21">
        <v>10000.0</v>
      </c>
    </row>
    <row r="28" ht="12.75" customHeight="1">
      <c r="A28" s="20" t="s">
        <v>22</v>
      </c>
      <c r="B28" s="21">
        <v>4000.0</v>
      </c>
    </row>
    <row r="29" ht="12.75" customHeight="1">
      <c r="A29" s="20" t="s">
        <v>23</v>
      </c>
      <c r="B29" s="21">
        <v>70.0</v>
      </c>
    </row>
    <row r="30" ht="12.75" customHeight="1">
      <c r="A30" s="20"/>
      <c r="B30" s="21"/>
    </row>
    <row r="31" ht="12.75" customHeight="1">
      <c r="A31" s="20" t="str">
        <f>'Smart&amp;Start Italia'!A18</f>
        <v>Annual financing installment</v>
      </c>
      <c r="B31" s="21">
        <f>'Smart&amp;Start Italia'!D18</f>
        <v>13556.025</v>
      </c>
    </row>
    <row r="32" ht="12.75" customHeight="1"/>
    <row r="33" ht="12.75" customHeight="1">
      <c r="A33" s="20" t="s">
        <v>24</v>
      </c>
      <c r="B33" s="22">
        <f>SUM(B24:B29)</f>
        <v>86070</v>
      </c>
    </row>
    <row r="34" ht="12.75" customHeight="1">
      <c r="A34" s="23" t="s">
        <v>25</v>
      </c>
      <c r="B34" s="21">
        <f>B31+'Smart&amp;Start Italia'!D11</f>
        <v>22163.025</v>
      </c>
    </row>
    <row r="35" ht="12.75" customHeight="1"/>
    <row r="36" ht="12.75" customHeight="1">
      <c r="A36" s="20" t="s">
        <v>26</v>
      </c>
      <c r="B36" s="21">
        <v>15000.0</v>
      </c>
    </row>
    <row r="37" ht="12.75" customHeight="1">
      <c r="A37" s="20" t="s">
        <v>27</v>
      </c>
      <c r="B37" s="21">
        <v>8000.0</v>
      </c>
    </row>
    <row r="38" ht="12.75" customHeight="1"/>
    <row r="39" ht="12.75" customHeight="1">
      <c r="A39" s="23" t="s">
        <v>28</v>
      </c>
      <c r="B39" s="21">
        <f> B27 + B29 + B36 + B31 + B37</f>
        <v>46626.025</v>
      </c>
    </row>
    <row r="40" ht="12.75" customHeight="1"/>
    <row r="41" ht="12.75" customHeight="1"/>
    <row r="42" ht="12.75" customHeight="1">
      <c r="A42" s="19" t="s">
        <v>10</v>
      </c>
    </row>
    <row r="43" ht="12.75" customHeight="1">
      <c r="A43" s="20" t="s">
        <v>29</v>
      </c>
      <c r="B43" s="21">
        <f>'User Plan'!B17</f>
        <v>17426.4</v>
      </c>
    </row>
    <row r="44" ht="12.75" customHeight="1">
      <c r="A44" s="20" t="s">
        <v>30</v>
      </c>
      <c r="B44" s="21">
        <f>'User Plan'!B27</f>
        <v>49374.8</v>
      </c>
    </row>
    <row r="45" ht="12.75" customHeight="1">
      <c r="A45" s="20" t="s">
        <v>31</v>
      </c>
      <c r="B45" s="21">
        <f>'User Plan'!B37</f>
        <v>148124.4</v>
      </c>
    </row>
    <row r="46" ht="12.75" customHeight="1">
      <c r="A46" s="20" t="s">
        <v>32</v>
      </c>
      <c r="B46" s="21">
        <f>'User Plan'!B47</f>
        <v>246874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</sheetData>
  <mergeCells count="2">
    <mergeCell ref="A1:G1"/>
    <mergeCell ref="C20:E20"/>
  </mergeCells>
  <printOptions gridLines="1"/>
  <pageMargins bottom="3.518950437317784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11.5"/>
    <col customWidth="1" min="3" max="3" width="8.63"/>
    <col customWidth="1" min="4" max="4" width="16.5"/>
    <col customWidth="1" min="5" max="5" width="12.25"/>
    <col customWidth="1" min="6" max="6" width="12.75"/>
    <col customWidth="1" min="7" max="7" width="11.75"/>
    <col customWidth="1" min="8" max="26" width="8.63"/>
  </cols>
  <sheetData>
    <row r="1" ht="12.75" customHeight="1">
      <c r="A1" s="24" t="s">
        <v>33</v>
      </c>
    </row>
    <row r="2" ht="12.75" customHeight="1"/>
    <row r="3" ht="12.75" customHeight="1">
      <c r="A3" s="25" t="s">
        <v>34</v>
      </c>
    </row>
    <row r="4" ht="12.75" customHeight="1"/>
    <row r="5" ht="12.75" customHeight="1">
      <c r="A5" s="20"/>
    </row>
    <row r="6" ht="12.75" customHeight="1">
      <c r="A6" s="20" t="s">
        <v>35</v>
      </c>
      <c r="B6" s="20">
        <v>90.0</v>
      </c>
    </row>
    <row r="7" ht="12.75" customHeight="1"/>
    <row r="8" ht="12.75" customHeight="1">
      <c r="A8" s="20" t="s">
        <v>36</v>
      </c>
      <c r="B8" s="20">
        <v>30.0</v>
      </c>
    </row>
    <row r="9" ht="12.75" customHeight="1"/>
    <row r="10" ht="12.75" customHeight="1">
      <c r="A10" s="20" t="s">
        <v>37</v>
      </c>
      <c r="B10" s="26">
        <f>'Financial analysis'!B33</f>
        <v>86070</v>
      </c>
      <c r="D10" s="27" t="s">
        <v>38</v>
      </c>
    </row>
    <row r="11" ht="12.75" customHeight="1">
      <c r="A11" s="23" t="s">
        <v>39</v>
      </c>
      <c r="B11" s="28">
        <f>(B10/100)*B6</f>
        <v>77463</v>
      </c>
      <c r="D11" s="29">
        <f>B10-B11</f>
        <v>8607</v>
      </c>
    </row>
    <row r="12" ht="12.75" customHeight="1">
      <c r="A12" s="30" t="s">
        <v>40</v>
      </c>
      <c r="B12" s="31">
        <f>(B11/100)*B8</f>
        <v>23238.9</v>
      </c>
    </row>
    <row r="13" ht="12.75" customHeight="1"/>
    <row r="14" ht="12.75" customHeight="1">
      <c r="A14" s="32" t="s">
        <v>41</v>
      </c>
      <c r="B14" s="33">
        <f>B11-B12</f>
        <v>54224.1</v>
      </c>
    </row>
    <row r="15" ht="12.75" customHeight="1"/>
    <row r="16" ht="12.75" customHeight="1">
      <c r="A16" s="34" t="s">
        <v>42</v>
      </c>
      <c r="D16" s="35">
        <f>B14/(4*12)</f>
        <v>1129.66875</v>
      </c>
    </row>
    <row r="17" ht="12.75" customHeight="1"/>
    <row r="18" ht="12.75" customHeight="1">
      <c r="A18" s="32" t="s">
        <v>43</v>
      </c>
      <c r="D18" s="33">
        <f>D16*12</f>
        <v>13556.025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4">
    <mergeCell ref="A1:F2"/>
    <mergeCell ref="A3:F4"/>
    <mergeCell ref="A16:C16"/>
    <mergeCell ref="A18:C18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5.38"/>
    <col customWidth="1" min="3" max="4" width="14.88"/>
    <col customWidth="1" min="5" max="5" width="17.63"/>
    <col customWidth="1" min="6" max="6" width="30.38"/>
    <col customWidth="1" min="7" max="7" width="4.75"/>
    <col customWidth="1" min="8" max="8" width="8.63"/>
    <col customWidth="1" min="9" max="9" width="11.13"/>
    <col customWidth="1" min="10" max="10" width="13.63"/>
    <col customWidth="1" min="11" max="27" width="8.63"/>
  </cols>
  <sheetData>
    <row r="1" ht="12.75" customHeight="1">
      <c r="A1" s="24" t="s">
        <v>44</v>
      </c>
    </row>
    <row r="2" ht="12.75" customHeight="1"/>
    <row r="3" ht="12.75" customHeight="1">
      <c r="A3" s="25" t="s">
        <v>45</v>
      </c>
    </row>
    <row r="4" ht="12.75" customHeight="1"/>
    <row r="5" ht="12.75" customHeight="1"/>
    <row r="6" ht="12.75" customHeight="1">
      <c r="A6" s="27"/>
      <c r="B6" s="27" t="s">
        <v>46</v>
      </c>
      <c r="C6" s="27" t="s">
        <v>47</v>
      </c>
      <c r="D6" s="27" t="s">
        <v>48</v>
      </c>
      <c r="E6" s="27" t="s">
        <v>49</v>
      </c>
      <c r="F6" s="27" t="s">
        <v>50</v>
      </c>
      <c r="I6" s="27" t="s">
        <v>51</v>
      </c>
    </row>
    <row r="7" ht="12.75" customHeight="1">
      <c r="A7" s="36" t="s">
        <v>52</v>
      </c>
      <c r="B7" s="36">
        <v>0.0</v>
      </c>
      <c r="C7" s="36">
        <v>5.0</v>
      </c>
      <c r="D7" s="36">
        <v>29.0</v>
      </c>
      <c r="E7" s="36">
        <v>59.0</v>
      </c>
      <c r="F7" s="37" t="s">
        <v>53</v>
      </c>
      <c r="G7" s="38">
        <v>100.0</v>
      </c>
      <c r="I7" s="27">
        <v>60.0</v>
      </c>
      <c r="K7" s="37"/>
    </row>
    <row r="8" ht="12.75" customHeight="1">
      <c r="A8" s="39" t="s">
        <v>54</v>
      </c>
      <c r="B8" s="40">
        <f t="shared" ref="B8:E8" si="1">12*B7</f>
        <v>0</v>
      </c>
      <c r="C8" s="40">
        <f t="shared" si="1"/>
        <v>60</v>
      </c>
      <c r="D8" s="40">
        <f t="shared" si="1"/>
        <v>348</v>
      </c>
      <c r="E8" s="40">
        <f t="shared" si="1"/>
        <v>708</v>
      </c>
      <c r="F8" s="40">
        <f>12*G7</f>
        <v>1200</v>
      </c>
    </row>
    <row r="9" ht="12.75" customHeight="1">
      <c r="A9" s="41" t="s">
        <v>55</v>
      </c>
      <c r="B9" s="41">
        <v>20.0</v>
      </c>
      <c r="C9" s="41">
        <v>50.0</v>
      </c>
      <c r="D9" s="41">
        <v>20.0</v>
      </c>
      <c r="E9" s="41">
        <v>10.0</v>
      </c>
      <c r="F9" s="41">
        <v>10.0</v>
      </c>
      <c r="I9" s="27" t="s">
        <v>56</v>
      </c>
    </row>
    <row r="10" ht="12.75" customHeight="1">
      <c r="A10" s="42" t="s">
        <v>57</v>
      </c>
      <c r="I10" s="27">
        <v>170.0</v>
      </c>
    </row>
    <row r="11" ht="12.75" customHeight="1">
      <c r="A11" s="27" t="s">
        <v>58</v>
      </c>
      <c r="B11" s="43">
        <f t="shared" ref="B11:F11" si="2">($I$7/100)*B9</f>
        <v>12</v>
      </c>
      <c r="C11" s="43">
        <f t="shared" si="2"/>
        <v>30</v>
      </c>
      <c r="D11" s="43">
        <f t="shared" si="2"/>
        <v>12</v>
      </c>
      <c r="E11" s="43">
        <f t="shared" si="2"/>
        <v>6</v>
      </c>
      <c r="F11" s="43">
        <f t="shared" si="2"/>
        <v>6</v>
      </c>
      <c r="I11" s="37" t="s">
        <v>59</v>
      </c>
      <c r="K11" s="44"/>
      <c r="L11" s="44"/>
    </row>
    <row r="12" ht="12.75" customHeight="1"/>
    <row r="13" ht="12.75" customHeight="1">
      <c r="A13" s="23" t="s">
        <v>60</v>
      </c>
      <c r="B13" s="45">
        <f>B11*10*0.02</f>
        <v>2.4</v>
      </c>
      <c r="I13" s="27" t="s">
        <v>61</v>
      </c>
    </row>
    <row r="14" ht="12.75" customHeight="1">
      <c r="I14" s="27">
        <v>510.0</v>
      </c>
      <c r="K14" s="44"/>
      <c r="L14" s="44"/>
    </row>
    <row r="15" ht="12.75" customHeight="1">
      <c r="A15" s="23" t="s">
        <v>62</v>
      </c>
      <c r="B15" s="46">
        <f>B13</f>
        <v>2.4</v>
      </c>
      <c r="C15" s="40">
        <f t="shared" ref="C15:F15" si="3">C11*C8</f>
        <v>1800</v>
      </c>
      <c r="D15" s="40">
        <f t="shared" si="3"/>
        <v>4176</v>
      </c>
      <c r="E15" s="40">
        <f t="shared" si="3"/>
        <v>4248</v>
      </c>
      <c r="F15" s="40">
        <f t="shared" si="3"/>
        <v>7200</v>
      </c>
      <c r="I15" s="37" t="s">
        <v>63</v>
      </c>
    </row>
    <row r="16" ht="12.75" customHeight="1"/>
    <row r="17" ht="12.75" customHeight="1">
      <c r="A17" s="23" t="s">
        <v>64</v>
      </c>
      <c r="B17" s="26">
        <f>SUM(B15:F15)</f>
        <v>17426.4</v>
      </c>
      <c r="I17" s="27" t="s">
        <v>65</v>
      </c>
    </row>
    <row r="18" ht="12.75" customHeight="1">
      <c r="I18" s="27">
        <v>850.0</v>
      </c>
    </row>
    <row r="19" ht="12.75" customHeight="1">
      <c r="I19" s="37" t="s">
        <v>66</v>
      </c>
    </row>
    <row r="20" ht="12.75" customHeight="1">
      <c r="A20" s="42" t="s">
        <v>67</v>
      </c>
    </row>
    <row r="21" ht="12.75" customHeight="1">
      <c r="A21" s="27" t="s">
        <v>58</v>
      </c>
      <c r="B21" s="43">
        <f t="shared" ref="B21:F21" si="4">($I$10/100)*B9</f>
        <v>34</v>
      </c>
      <c r="C21" s="43">
        <f t="shared" si="4"/>
        <v>85</v>
      </c>
      <c r="D21" s="43">
        <f t="shared" si="4"/>
        <v>34</v>
      </c>
      <c r="E21" s="43">
        <f t="shared" si="4"/>
        <v>17</v>
      </c>
      <c r="F21" s="43">
        <f t="shared" si="4"/>
        <v>17</v>
      </c>
    </row>
    <row r="22" ht="12.75" customHeight="1"/>
    <row r="23" ht="12.75" customHeight="1">
      <c r="A23" s="23" t="s">
        <v>60</v>
      </c>
      <c r="B23" s="45">
        <f>B21*10*0.02</f>
        <v>6.8</v>
      </c>
    </row>
    <row r="24" ht="12.75" customHeight="1"/>
    <row r="25" ht="12.75" customHeight="1">
      <c r="A25" s="23" t="s">
        <v>62</v>
      </c>
      <c r="B25" s="46">
        <f>B23</f>
        <v>6.8</v>
      </c>
      <c r="C25" s="40">
        <f t="shared" ref="C25:F25" si="5">C21*C8</f>
        <v>5100</v>
      </c>
      <c r="D25" s="40">
        <f t="shared" si="5"/>
        <v>11832</v>
      </c>
      <c r="E25" s="40">
        <f t="shared" si="5"/>
        <v>12036</v>
      </c>
      <c r="F25" s="40">
        <f t="shared" si="5"/>
        <v>20400</v>
      </c>
    </row>
    <row r="26" ht="12.75" customHeight="1"/>
    <row r="27" ht="12.75" customHeight="1">
      <c r="A27" s="23" t="s">
        <v>64</v>
      </c>
      <c r="B27" s="26">
        <f>SUM(B25:F25)</f>
        <v>49374.8</v>
      </c>
    </row>
    <row r="28" ht="12.75" customHeight="1"/>
    <row r="29" ht="12.75" customHeight="1"/>
    <row r="30" ht="12.75" customHeight="1">
      <c r="A30" s="42" t="s">
        <v>68</v>
      </c>
    </row>
    <row r="31" ht="12.75" customHeight="1">
      <c r="A31" s="27" t="s">
        <v>58</v>
      </c>
      <c r="B31" s="43">
        <f t="shared" ref="B31:F31" si="6">($I$14/100)*B9</f>
        <v>102</v>
      </c>
      <c r="C31" s="43">
        <f t="shared" si="6"/>
        <v>255</v>
      </c>
      <c r="D31" s="43">
        <f t="shared" si="6"/>
        <v>102</v>
      </c>
      <c r="E31" s="43">
        <f t="shared" si="6"/>
        <v>51</v>
      </c>
      <c r="F31" s="43">
        <f t="shared" si="6"/>
        <v>51</v>
      </c>
    </row>
    <row r="32" ht="12.75" customHeight="1"/>
    <row r="33" ht="12.75" customHeight="1">
      <c r="A33" s="23" t="s">
        <v>60</v>
      </c>
      <c r="B33" s="45">
        <f>B31*10*0.02</f>
        <v>20.4</v>
      </c>
    </row>
    <row r="34" ht="12.75" customHeight="1"/>
    <row r="35" ht="12.75" customHeight="1">
      <c r="A35" s="23" t="s">
        <v>62</v>
      </c>
      <c r="B35" s="46">
        <f>B33</f>
        <v>20.4</v>
      </c>
      <c r="C35" s="40">
        <f t="shared" ref="C35:F35" si="7">C31*C8</f>
        <v>15300</v>
      </c>
      <c r="D35" s="40">
        <f t="shared" si="7"/>
        <v>35496</v>
      </c>
      <c r="E35" s="40">
        <f t="shared" si="7"/>
        <v>36108</v>
      </c>
      <c r="F35" s="40">
        <f t="shared" si="7"/>
        <v>61200</v>
      </c>
    </row>
    <row r="36" ht="12.75" customHeight="1"/>
    <row r="37" ht="12.75" customHeight="1">
      <c r="A37" s="23" t="s">
        <v>64</v>
      </c>
      <c r="B37" s="26">
        <f>SUM(B35:F35)</f>
        <v>148124.4</v>
      </c>
    </row>
    <row r="38" ht="12.75" customHeight="1"/>
    <row r="39" ht="12.75" customHeight="1"/>
    <row r="40" ht="12.75" customHeight="1">
      <c r="A40" s="42" t="s">
        <v>69</v>
      </c>
    </row>
    <row r="41" ht="12.75" customHeight="1">
      <c r="A41" s="27" t="s">
        <v>58</v>
      </c>
      <c r="B41" s="43">
        <f t="shared" ref="B41:F41" si="8">($I$18/100)*B9</f>
        <v>170</v>
      </c>
      <c r="C41" s="43">
        <f t="shared" si="8"/>
        <v>425</v>
      </c>
      <c r="D41" s="43">
        <f t="shared" si="8"/>
        <v>170</v>
      </c>
      <c r="E41" s="43">
        <f t="shared" si="8"/>
        <v>85</v>
      </c>
      <c r="F41" s="43">
        <f t="shared" si="8"/>
        <v>85</v>
      </c>
    </row>
    <row r="42" ht="12.75" customHeight="1"/>
    <row r="43" ht="12.75" customHeight="1">
      <c r="A43" s="23" t="s">
        <v>60</v>
      </c>
      <c r="B43" s="45">
        <f>B41*10*0.02</f>
        <v>34</v>
      </c>
    </row>
    <row r="44" ht="12.75" customHeight="1"/>
    <row r="45" ht="12.75" customHeight="1">
      <c r="A45" s="23" t="s">
        <v>62</v>
      </c>
      <c r="B45" s="46">
        <f>B43</f>
        <v>34</v>
      </c>
      <c r="C45" s="40">
        <f t="shared" ref="C45:F45" si="9">C41*C8</f>
        <v>25500</v>
      </c>
      <c r="D45" s="40">
        <f t="shared" si="9"/>
        <v>59160</v>
      </c>
      <c r="E45" s="40">
        <f t="shared" si="9"/>
        <v>60180</v>
      </c>
      <c r="F45" s="40">
        <f t="shared" si="9"/>
        <v>102000</v>
      </c>
    </row>
    <row r="46" ht="12.75" customHeight="1"/>
    <row r="47" ht="12.75" customHeight="1">
      <c r="A47" s="23" t="s">
        <v>64</v>
      </c>
      <c r="B47" s="26">
        <f>SUM(B45:F45)</f>
        <v>246874</v>
      </c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8">
    <mergeCell ref="A1:G2"/>
    <mergeCell ref="A3:G4"/>
    <mergeCell ref="I6:J6"/>
    <mergeCell ref="I7:J7"/>
    <mergeCell ref="K7:L7"/>
    <mergeCell ref="I9:J9"/>
    <mergeCell ref="A10:F10"/>
    <mergeCell ref="I19:J19"/>
    <mergeCell ref="A20:F20"/>
    <mergeCell ref="A30:F30"/>
    <mergeCell ref="A40:F40"/>
    <mergeCell ref="I10:J10"/>
    <mergeCell ref="I11:J11"/>
    <mergeCell ref="I13:J13"/>
    <mergeCell ref="I14:J14"/>
    <mergeCell ref="I15:J15"/>
    <mergeCell ref="I17:J17"/>
    <mergeCell ref="I18:J18"/>
  </mergeCells>
  <printOptions/>
  <pageMargins bottom="0.39370078740157477" footer="0.0" header="0.0" left="0.39370078740157477" right="0.39370078740157477" top="0.39370078740157477"/>
  <pageSetup scale="8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2003-02-20T16:30:31Z</dcterms:created>
  <dc:creator>IT Department</dc:creator>
</cp:coreProperties>
</file>