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 Models\"/>
    </mc:Choice>
  </mc:AlternateContent>
  <xr:revisionPtr revIDLastSave="0" documentId="8_{73310BD3-F4CF-4F3B-BDA5-9D0A9CBB8738}" xr6:coauthVersionLast="47" xr6:coauthVersionMax="47" xr10:uidLastSave="{00000000-0000-0000-0000-000000000000}"/>
  <bookViews>
    <workbookView xWindow="-90" yWindow="-90" windowWidth="19380" windowHeight="10260" firstSheet="2" activeTab="6" xr2:uid="{F5E663B0-AF15-495F-979E-52062BBA6778}"/>
  </bookViews>
  <sheets>
    <sheet name="Production rented machines" sheetId="1" r:id="rId1"/>
    <sheet name="Production purchased machines" sheetId="2" r:id="rId2"/>
    <sheet name="P&amp;L " sheetId="4" r:id="rId3"/>
    <sheet name="Depreciation" sheetId="9" r:id="rId4"/>
    <sheet name="CashflowPM" sheetId="5" r:id="rId5"/>
    <sheet name="CashflowRM" sheetId="10" r:id="rId6"/>
    <sheet name="Balance sheet" sheetId="6" r:id="rId7"/>
    <sheet name="Ratios PM" sheetId="7" r:id="rId8"/>
    <sheet name="Ratios RM" sheetId="11" r:id="rId9"/>
    <sheet name="payroll " sheetId="8" r:id="rId10"/>
    <sheet name="Sheet3" sheetId="3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I16" i="4"/>
  <c r="C16" i="4"/>
  <c r="J6" i="9" l="1"/>
  <c r="J7" i="9"/>
  <c r="J8" i="9"/>
  <c r="J9" i="9"/>
  <c r="J5" i="9"/>
  <c r="I6" i="9"/>
  <c r="I7" i="9"/>
  <c r="I8" i="9"/>
  <c r="I9" i="9"/>
  <c r="I5" i="9"/>
  <c r="B12" i="11"/>
  <c r="B9" i="11"/>
  <c r="B6" i="11"/>
  <c r="E3" i="11"/>
  <c r="D48" i="1"/>
  <c r="J48" i="1"/>
  <c r="H25" i="4"/>
  <c r="B25" i="4"/>
  <c r="B10" i="4"/>
  <c r="I17" i="2"/>
  <c r="H17" i="1"/>
  <c r="H18" i="1"/>
  <c r="H16" i="1"/>
  <c r="I19" i="2"/>
  <c r="I18" i="2"/>
  <c r="M12" i="5"/>
  <c r="C12" i="5"/>
  <c r="B12" i="5"/>
  <c r="B11" i="5"/>
  <c r="B23" i="5"/>
  <c r="B6" i="10"/>
  <c r="L6" i="10"/>
  <c r="L20" i="10" s="1"/>
  <c r="L45" i="10" s="1"/>
  <c r="B10" i="10"/>
  <c r="B11" i="10"/>
  <c r="B12" i="10"/>
  <c r="C20" i="10"/>
  <c r="D20" i="10"/>
  <c r="D45" i="10" s="1"/>
  <c r="E20" i="10"/>
  <c r="E45" i="10" s="1"/>
  <c r="F20" i="10"/>
  <c r="F45" i="10" s="1"/>
  <c r="G20" i="10"/>
  <c r="G45" i="10" s="1"/>
  <c r="H20" i="10"/>
  <c r="I20" i="10"/>
  <c r="J20" i="10"/>
  <c r="J45" i="10" s="1"/>
  <c r="K20" i="10"/>
  <c r="M20" i="10"/>
  <c r="M45" i="10" s="1"/>
  <c r="B23" i="10"/>
  <c r="B24" i="10"/>
  <c r="B26" i="10"/>
  <c r="C32" i="10"/>
  <c r="D32" i="10"/>
  <c r="E32" i="10"/>
  <c r="F32" i="10"/>
  <c r="G32" i="10"/>
  <c r="H32" i="10"/>
  <c r="I32" i="10"/>
  <c r="J32" i="10"/>
  <c r="K32" i="10"/>
  <c r="L32" i="10"/>
  <c r="M32" i="10"/>
  <c r="B42" i="10"/>
  <c r="C42" i="10"/>
  <c r="C45" i="10" s="1"/>
  <c r="D42" i="10"/>
  <c r="E42" i="10"/>
  <c r="F42" i="10"/>
  <c r="G42" i="10"/>
  <c r="H42" i="10"/>
  <c r="I42" i="10"/>
  <c r="I45" i="10" s="1"/>
  <c r="J42" i="10"/>
  <c r="K42" i="10"/>
  <c r="K45" i="10" s="1"/>
  <c r="L42" i="10"/>
  <c r="M42" i="10"/>
  <c r="H45" i="10"/>
  <c r="H20" i="4"/>
  <c r="H24" i="4"/>
  <c r="B24" i="4"/>
  <c r="C48" i="1"/>
  <c r="E55" i="1"/>
  <c r="D55" i="1"/>
  <c r="B12" i="4"/>
  <c r="B11" i="4"/>
  <c r="B9" i="4"/>
  <c r="B6" i="6"/>
  <c r="B7" i="6"/>
  <c r="C10" i="9"/>
  <c r="B49" i="6"/>
  <c r="B51" i="6" s="1"/>
  <c r="B45" i="6"/>
  <c r="B36" i="6"/>
  <c r="B20" i="10" l="1"/>
  <c r="B45" i="10" s="1"/>
  <c r="B32" i="10"/>
  <c r="B25" i="5"/>
  <c r="B47" i="10"/>
  <c r="B48" i="10" l="1"/>
  <c r="C47" i="10" s="1"/>
  <c r="C48" i="10" s="1"/>
  <c r="D47" i="10" s="1"/>
  <c r="D48" i="10" s="1"/>
  <c r="E47" i="10" s="1"/>
  <c r="E48" i="10" s="1"/>
  <c r="F47" i="10" s="1"/>
  <c r="F48" i="10" s="1"/>
  <c r="G47" i="10" s="1"/>
  <c r="G48" i="10" s="1"/>
  <c r="H47" i="10" s="1"/>
  <c r="H48" i="10" s="1"/>
  <c r="I47" i="10" s="1"/>
  <c r="I48" i="10" s="1"/>
  <c r="J47" i="10" s="1"/>
  <c r="J48" i="10" s="1"/>
  <c r="K47" i="10" s="1"/>
  <c r="K48" i="10" s="1"/>
  <c r="L47" i="10" s="1"/>
  <c r="L48" i="10" s="1"/>
  <c r="M47" i="10" s="1"/>
  <c r="M48" i="10" s="1"/>
  <c r="C10" i="6"/>
  <c r="G8" i="6"/>
  <c r="N5" i="5"/>
  <c r="N7" i="5"/>
  <c r="N11" i="5"/>
  <c r="N12" i="5"/>
  <c r="N13" i="5"/>
  <c r="N14" i="5"/>
  <c r="N15" i="5"/>
  <c r="N16" i="5"/>
  <c r="N17" i="5"/>
  <c r="N18" i="5"/>
  <c r="N19" i="5"/>
  <c r="N21" i="5"/>
  <c r="N22" i="5"/>
  <c r="N23" i="5"/>
  <c r="N25" i="5"/>
  <c r="N27" i="5"/>
  <c r="N28" i="5"/>
  <c r="N29" i="5"/>
  <c r="N30" i="5"/>
  <c r="N31" i="5"/>
  <c r="N33" i="5"/>
  <c r="N34" i="5"/>
  <c r="N35" i="5"/>
  <c r="N36" i="5"/>
  <c r="N37" i="5"/>
  <c r="N38" i="5"/>
  <c r="N39" i="5"/>
  <c r="N40" i="5"/>
  <c r="N41" i="5"/>
  <c r="N42" i="5"/>
  <c r="N43" i="5"/>
  <c r="N44" i="5"/>
  <c r="N46" i="5"/>
  <c r="N4" i="5"/>
  <c r="C20" i="5"/>
  <c r="H9" i="9"/>
  <c r="H6" i="9"/>
  <c r="H7" i="9"/>
  <c r="H8" i="9"/>
  <c r="H5" i="9"/>
  <c r="F6" i="9"/>
  <c r="F7" i="9"/>
  <c r="F8" i="9"/>
  <c r="F9" i="9"/>
  <c r="F5" i="9"/>
  <c r="C9" i="9"/>
  <c r="C7" i="9"/>
  <c r="C8" i="9"/>
  <c r="C6" i="9"/>
  <c r="C5" i="9"/>
  <c r="M42" i="5"/>
  <c r="L42" i="5"/>
  <c r="K42" i="5"/>
  <c r="J42" i="5"/>
  <c r="I42" i="5"/>
  <c r="H42" i="5"/>
  <c r="G42" i="5"/>
  <c r="F42" i="5"/>
  <c r="E42" i="5"/>
  <c r="D42" i="5"/>
  <c r="C42" i="5"/>
  <c r="B42" i="5"/>
  <c r="M32" i="5"/>
  <c r="L32" i="5"/>
  <c r="K32" i="5"/>
  <c r="J32" i="5"/>
  <c r="I32" i="5"/>
  <c r="H32" i="5"/>
  <c r="G32" i="5"/>
  <c r="F32" i="5"/>
  <c r="E32" i="5"/>
  <c r="D32" i="5"/>
  <c r="C32" i="5"/>
  <c r="B26" i="5"/>
  <c r="N26" i="5" s="1"/>
  <c r="B24" i="5"/>
  <c r="N24" i="5" s="1"/>
  <c r="B32" i="5"/>
  <c r="M20" i="5"/>
  <c r="K20" i="5"/>
  <c r="J20" i="5"/>
  <c r="I20" i="5"/>
  <c r="I45" i="5" s="1"/>
  <c r="H20" i="5"/>
  <c r="G20" i="5"/>
  <c r="G45" i="5" s="1"/>
  <c r="F20" i="5"/>
  <c r="E20" i="5"/>
  <c r="D20" i="5"/>
  <c r="L6" i="5"/>
  <c r="L20" i="5" s="1"/>
  <c r="H22" i="4"/>
  <c r="H15" i="4"/>
  <c r="H14" i="4"/>
  <c r="H13" i="4"/>
  <c r="H12" i="4"/>
  <c r="H11" i="4"/>
  <c r="H10" i="4"/>
  <c r="H5" i="4"/>
  <c r="H4" i="4"/>
  <c r="I6" i="4"/>
  <c r="G31" i="8"/>
  <c r="G30" i="8"/>
  <c r="G29" i="8"/>
  <c r="G28" i="8"/>
  <c r="G27" i="8"/>
  <c r="P24" i="8"/>
  <c r="O24" i="8"/>
  <c r="N24" i="8"/>
  <c r="M24" i="8"/>
  <c r="L24" i="8"/>
  <c r="K24" i="8"/>
  <c r="J24" i="8"/>
  <c r="I24" i="8"/>
  <c r="H24" i="8"/>
  <c r="G24" i="8"/>
  <c r="F24" i="8"/>
  <c r="D17" i="8"/>
  <c r="C17" i="8"/>
  <c r="E16" i="8"/>
  <c r="Q16" i="8" s="1"/>
  <c r="E15" i="8"/>
  <c r="Q15" i="8" s="1"/>
  <c r="E14" i="8"/>
  <c r="Q14" i="8" s="1"/>
  <c r="Q13" i="8"/>
  <c r="Q12" i="8"/>
  <c r="E11" i="8"/>
  <c r="B21" i="4"/>
  <c r="B5" i="4"/>
  <c r="B4" i="4"/>
  <c r="I78" i="1"/>
  <c r="H78" i="1"/>
  <c r="H87" i="2"/>
  <c r="G78" i="1"/>
  <c r="G87" i="2"/>
  <c r="G89" i="2" s="1"/>
  <c r="F78" i="1"/>
  <c r="E78" i="1"/>
  <c r="D78" i="1"/>
  <c r="B78" i="1"/>
  <c r="C78" i="1"/>
  <c r="D89" i="2"/>
  <c r="E89" i="2"/>
  <c r="F89" i="2"/>
  <c r="C89" i="2"/>
  <c r="H88" i="2"/>
  <c r="G88" i="2"/>
  <c r="F88" i="2"/>
  <c r="F87" i="2"/>
  <c r="E87" i="2"/>
  <c r="D87" i="2"/>
  <c r="C87" i="2"/>
  <c r="B87" i="2"/>
  <c r="B88" i="2"/>
  <c r="E88" i="2" s="1"/>
  <c r="C77" i="2"/>
  <c r="D77" i="2" s="1"/>
  <c r="B64" i="2"/>
  <c r="B37" i="2"/>
  <c r="B41" i="2"/>
  <c r="I41" i="2" s="1"/>
  <c r="B45" i="2"/>
  <c r="I45" i="2" s="1"/>
  <c r="B52" i="2"/>
  <c r="B51" i="2"/>
  <c r="I51" i="2" s="1"/>
  <c r="B59" i="2"/>
  <c r="I59" i="2"/>
  <c r="C71" i="2"/>
  <c r="E71" i="2" s="1"/>
  <c r="C70" i="2"/>
  <c r="E70" i="2" s="1"/>
  <c r="E64" i="2"/>
  <c r="H52" i="2"/>
  <c r="F52" i="2"/>
  <c r="G52" i="2" s="1"/>
  <c r="F51" i="2"/>
  <c r="I29" i="2"/>
  <c r="C34" i="4"/>
  <c r="I28" i="2"/>
  <c r="I25" i="2"/>
  <c r="I26" i="2"/>
  <c r="I27" i="2"/>
  <c r="H20" i="2"/>
  <c r="G20" i="2"/>
  <c r="I16" i="2"/>
  <c r="I15" i="2"/>
  <c r="I14" i="2"/>
  <c r="C59" i="2" s="1"/>
  <c r="C37" i="2"/>
  <c r="I9" i="2"/>
  <c r="E53" i="2"/>
  <c r="J45" i="2"/>
  <c r="F45" i="2"/>
  <c r="J41" i="2"/>
  <c r="F41" i="2"/>
  <c r="I37" i="2"/>
  <c r="G37" i="2"/>
  <c r="F37" i="2"/>
  <c r="J37" i="2" s="1"/>
  <c r="G30" i="2"/>
  <c r="C66" i="1"/>
  <c r="C65" i="1"/>
  <c r="F79" i="1"/>
  <c r="G79" i="1"/>
  <c r="D79" i="1"/>
  <c r="B79" i="1"/>
  <c r="E60" i="1"/>
  <c r="F60" i="1" s="1"/>
  <c r="B15" i="4" s="1"/>
  <c r="H10" i="9" l="1"/>
  <c r="H32" i="4" s="1"/>
  <c r="I34" i="4" s="1"/>
  <c r="B8" i="5" s="1"/>
  <c r="N8" i="5" s="1"/>
  <c r="L45" i="5"/>
  <c r="K45" i="5"/>
  <c r="D45" i="5"/>
  <c r="H45" i="5"/>
  <c r="J45" i="5"/>
  <c r="M45" i="5"/>
  <c r="E45" i="5"/>
  <c r="F45" i="5"/>
  <c r="N32" i="5"/>
  <c r="C45" i="5"/>
  <c r="B23" i="4"/>
  <c r="H23" i="4"/>
  <c r="F11" i="6" s="1"/>
  <c r="H21" i="4"/>
  <c r="I28" i="4" s="1"/>
  <c r="G32" i="8"/>
  <c r="G17" i="8"/>
  <c r="F17" i="8"/>
  <c r="E17" i="8"/>
  <c r="E23" i="8" s="1"/>
  <c r="Q23" i="8" s="1"/>
  <c r="Q11" i="8"/>
  <c r="C6" i="4"/>
  <c r="I88" i="2"/>
  <c r="G41" i="2"/>
  <c r="J59" i="2"/>
  <c r="F64" i="2"/>
  <c r="G45" i="2"/>
  <c r="G51" i="2"/>
  <c r="G53" i="2" s="1"/>
  <c r="J52" i="2"/>
  <c r="I30" i="2"/>
  <c r="J51" i="2"/>
  <c r="E72" i="2"/>
  <c r="I20" i="2"/>
  <c r="D53" i="2"/>
  <c r="K37" i="2"/>
  <c r="F53" i="2"/>
  <c r="K45" i="2"/>
  <c r="K41" i="2"/>
  <c r="H79" i="1"/>
  <c r="I79" i="1" s="1"/>
  <c r="E79" i="1"/>
  <c r="I17" i="4" l="1"/>
  <c r="B3" i="7"/>
  <c r="B17" i="6"/>
  <c r="H8" i="4"/>
  <c r="I35" i="4"/>
  <c r="B9" i="7" s="1"/>
  <c r="E21" i="8"/>
  <c r="Q21" i="8" s="1"/>
  <c r="E22" i="8"/>
  <c r="Q22" i="8" s="1"/>
  <c r="E20" i="8"/>
  <c r="H17" i="8"/>
  <c r="C17" i="4"/>
  <c r="H89" i="2"/>
  <c r="I87" i="2"/>
  <c r="I89" i="2" s="1"/>
  <c r="C52" i="2"/>
  <c r="E59" i="2"/>
  <c r="C51" i="2"/>
  <c r="K52" i="2"/>
  <c r="I52" i="2"/>
  <c r="H53" i="2"/>
  <c r="K51" i="2"/>
  <c r="I29" i="4" l="1"/>
  <c r="I30" i="4" s="1"/>
  <c r="B6" i="7"/>
  <c r="E24" i="8"/>
  <c r="I37" i="4"/>
  <c r="B9" i="5" s="1"/>
  <c r="Q20" i="8"/>
  <c r="Q24" i="8" s="1"/>
  <c r="I17" i="8"/>
  <c r="C53" i="2"/>
  <c r="I53" i="2"/>
  <c r="F59" i="2"/>
  <c r="L59" i="2" s="1"/>
  <c r="K59" i="2" s="1"/>
  <c r="J53" i="2"/>
  <c r="K53" i="2"/>
  <c r="N9" i="5" l="1"/>
  <c r="I39" i="4"/>
  <c r="H41" i="4" s="1"/>
  <c r="J17" i="8"/>
  <c r="I43" i="4" l="1"/>
  <c r="B12" i="7" s="1"/>
  <c r="F12" i="6"/>
  <c r="G13" i="6" s="1"/>
  <c r="B10" i="5"/>
  <c r="K17" i="8"/>
  <c r="N10" i="5" l="1"/>
  <c r="B20" i="5"/>
  <c r="F18" i="6"/>
  <c r="G19" i="6" s="1"/>
  <c r="G21" i="6" s="1"/>
  <c r="B16" i="6"/>
  <c r="C19" i="6" s="1"/>
  <c r="B6" i="5"/>
  <c r="L17" i="8"/>
  <c r="C21" i="6" l="1"/>
  <c r="E3" i="7"/>
  <c r="B47" i="5"/>
  <c r="N6" i="5"/>
  <c r="M17" i="8"/>
  <c r="B45" i="5" l="1"/>
  <c r="N45" i="5" s="1"/>
  <c r="N20" i="5"/>
  <c r="N17" i="8"/>
  <c r="B48" i="5" l="1"/>
  <c r="C47" i="5" s="1"/>
  <c r="C48" i="5" s="1"/>
  <c r="D47" i="5" s="1"/>
  <c r="D48" i="5" s="1"/>
  <c r="E47" i="5" s="1"/>
  <c r="E48" i="5" s="1"/>
  <c r="F47" i="5" s="1"/>
  <c r="F48" i="5" s="1"/>
  <c r="O17" i="8"/>
  <c r="G47" i="5" l="1"/>
  <c r="P17" i="8"/>
  <c r="Q17" i="8"/>
  <c r="G48" i="5" l="1"/>
  <c r="H47" i="5" s="1"/>
  <c r="H48" i="5" s="1"/>
  <c r="I47" i="5" s="1"/>
  <c r="I48" i="5" s="1"/>
  <c r="J47" i="5" s="1"/>
  <c r="J48" i="5" s="1"/>
  <c r="K47" i="5" s="1"/>
  <c r="K48" i="5" s="1"/>
  <c r="L47" i="5" s="1"/>
  <c r="L48" i="5" s="1"/>
  <c r="M47" i="5" s="1"/>
  <c r="M48" i="5" s="1"/>
  <c r="N48" i="5" s="1"/>
  <c r="N47" i="5" l="1"/>
  <c r="I55" i="1" l="1"/>
  <c r="J55" i="1" s="1"/>
  <c r="E50" i="1"/>
  <c r="H49" i="1"/>
  <c r="H48" i="1"/>
  <c r="F49" i="1"/>
  <c r="G49" i="1" s="1"/>
  <c r="F48" i="1"/>
  <c r="H26" i="1"/>
  <c r="D49" i="1" s="1"/>
  <c r="I42" i="1"/>
  <c r="F42" i="1"/>
  <c r="G42" i="1" s="1"/>
  <c r="H25" i="1"/>
  <c r="I38" i="1"/>
  <c r="F38" i="1"/>
  <c r="G38" i="1" s="1"/>
  <c r="F34" i="1"/>
  <c r="J34" i="1" s="1"/>
  <c r="I34" i="1"/>
  <c r="G34" i="1"/>
  <c r="F27" i="1"/>
  <c r="H24" i="1"/>
  <c r="C38" i="1" s="1"/>
  <c r="H23" i="1"/>
  <c r="C34" i="1" s="1"/>
  <c r="G19" i="1"/>
  <c r="F19" i="1"/>
  <c r="H15" i="1"/>
  <c r="H14" i="1"/>
  <c r="H13" i="1"/>
  <c r="C55" i="1" s="1"/>
  <c r="D72" i="1"/>
  <c r="E66" i="1"/>
  <c r="E65" i="1"/>
  <c r="H8" i="1"/>
  <c r="I48" i="1" l="1"/>
  <c r="F55" i="1" s="1"/>
  <c r="F50" i="1"/>
  <c r="J49" i="1"/>
  <c r="K49" i="1" s="1"/>
  <c r="I49" i="1"/>
  <c r="J42" i="1"/>
  <c r="G48" i="1"/>
  <c r="G50" i="1" s="1"/>
  <c r="J38" i="1"/>
  <c r="K38" i="1" s="1"/>
  <c r="H27" i="1"/>
  <c r="H50" i="1"/>
  <c r="D50" i="1"/>
  <c r="C42" i="1"/>
  <c r="K34" i="1"/>
  <c r="H19" i="1"/>
  <c r="B8" i="4" s="1"/>
  <c r="E67" i="1"/>
  <c r="B22" i="4" s="1"/>
  <c r="C28" i="4" s="1"/>
  <c r="C35" i="4" l="1"/>
  <c r="C39" i="4" s="1"/>
  <c r="C29" i="4"/>
  <c r="C30" i="4" s="1"/>
  <c r="I50" i="1"/>
  <c r="C50" i="1"/>
  <c r="L55" i="1"/>
  <c r="K48" i="1"/>
  <c r="K50" i="1" s="1"/>
  <c r="B13" i="4" s="1"/>
  <c r="J50" i="1"/>
  <c r="K42" i="1"/>
  <c r="B41" i="4" l="1"/>
  <c r="C43" i="4" s="1"/>
  <c r="K55" i="1"/>
  <c r="B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tc={342A1C3B-D84B-4CD1-A809-D8253E6D2D80}</author>
    <author>tc={AACDAC10-71B7-4DB5-8075-DDA89E6D698A}</author>
  </authors>
  <commentList>
    <comment ref="F24" authorId="0" shapeId="0" xr:uid="{342A1C3B-D84B-4CD1-A809-D8253E6D2D8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price of renting per ha.</t>
      </text>
    </comment>
    <comment ref="D60" authorId="1" shapeId="0" xr:uid="{AACDAC10-71B7-4DB5-8075-DDA89E6D69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the number of people (100)
Reply:
    Look at cassava harvester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tc={6B476C5B-BC99-426B-82EF-D51B69C77938}</author>
  </authors>
  <commentList>
    <comment ref="I28" authorId="0" shapeId="0" xr:uid="{6B476C5B-BC99-426B-82EF-D51B69C77938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a cheaper price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tc={FC4E3BAD-5B47-41D6-AFA6-C54806B1A9F8}</author>
    <author>tc={CE9D8E30-47AA-4D07-80D0-07C913B40E13}</author>
    <author>tc={363E3279-6D60-4CD7-944F-BF840A297372}</author>
    <author>tc={6FA268D2-D962-4B40-AB1F-00AF8686D692}</author>
    <author>tc={3615CDE3-862B-470F-9EFB-776412BE6406}</author>
    <author>tc={0E11BEC1-CAFC-4581-AE7C-F4E8A10FBB93}</author>
    <author>tc={0E5654A0-14B3-453A-9E3C-93356CB04492}</author>
    <author>tc={E41C93F6-FA5B-4B1F-AF90-0D6DEBCDDA60}</author>
  </authors>
  <commentList>
    <comment ref="G17" authorId="0" shapeId="0" xr:uid="{FC4E3BAD-5B47-41D6-AFA6-C54806B1A9F8}">
      <text>
        <t>[Threaded comment]
Your version of Excel allows you to read this threaded comment; however, any edits to it will get removed if the file is opened in a newer version of Excel. Learn more: https://go.microsoft.com/fwlink/?linkid=870924
Comment:
    Administrative Expense</t>
      </text>
    </comment>
    <comment ref="G18" authorId="1" shapeId="0" xr:uid="{CE9D8E30-47AA-4D07-80D0-07C913B40E13}">
      <text>
        <t>[Threaded comment]
Your version of Excel allows you to read this threaded comment; however, any edits to it will get removed if the file is opened in a newer version of Excel. Learn more: https://go.microsoft.com/fwlink/?linkid=870924
Comment:
    Administrative Expenses</t>
      </text>
    </comment>
    <comment ref="G21" authorId="2" shapeId="0" xr:uid="{363E3279-6D60-4CD7-944F-BF840A297372}">
      <text>
        <t>[Threaded comment]
Your version of Excel allows you to read this threaded comment; however, any edits to it will get removed if the file is opened in a newer version of Excel. Learn more: https://go.microsoft.com/fwlink/?linkid=870924
Comment:
    Salaries &amp; Wages.  We can add perdiem value to this caption.
Reply:
    Done</t>
      </text>
    </comment>
    <comment ref="G25" authorId="3" shapeId="0" xr:uid="{6FA268D2-D962-4B40-AB1F-00AF8686D692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for better words</t>
      </text>
    </comment>
    <comment ref="G28" authorId="4" shapeId="0" xr:uid="{3615CDE3-862B-470F-9EFB-776412BE6406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Operating Expenses</t>
      </text>
    </comment>
    <comment ref="G29" authorId="5" shapeId="0" xr:uid="{0E11BEC1-CAFC-4581-AE7C-F4E8A10FBB9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Farm Income</t>
      </text>
    </comment>
    <comment ref="J30" authorId="6" shapeId="0" xr:uid="{0E5654A0-14B3-453A-9E3C-93356CB04492}">
      <text>
        <t>[Threaded comment]
Your version of Excel allows you to read this threaded comment; however, any edits to it will get removed if the file is opened in a newer version of Excel. Learn more: https://go.microsoft.com/fwlink/?linkid=870924
Comment:
    Sir, I think that this is important to tell the different expenses at every stage.</t>
      </text>
    </comment>
    <comment ref="I37" authorId="7" shapeId="0" xr:uid="{E41C93F6-FA5B-4B1F-AF90-0D6DEBCDDA6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deduction is only one item, move to the last column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tc={DCC632E1-F499-4E5C-AA86-277C3B896F03}</author>
    <author>tc={020175BB-53A0-4BDE-AE16-A2A93DB4FCF2}</author>
  </authors>
  <commentList>
    <comment ref="G4" authorId="0" shapeId="0" xr:uid="{DCC632E1-F499-4E5C-AA86-277C3B896F0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did you come about 5%</t>
      </text>
    </comment>
    <comment ref="C8" authorId="1" shapeId="0" xr:uid="{020175BB-53A0-4BDE-AE16-A2A93DB4FC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 this from here.  It is a consumable item </t>
      </text>
    </comment>
  </commentList>
</comments>
</file>

<file path=xl/sharedStrings.xml><?xml version="1.0" encoding="utf-8"?>
<sst xmlns="http://schemas.openxmlformats.org/spreadsheetml/2006/main" count="598" uniqueCount="340">
  <si>
    <t xml:space="preserve">Total surface area cultivated in Ha. </t>
  </si>
  <si>
    <t xml:space="preserve">Maximum plants per Ha. </t>
  </si>
  <si>
    <t>Yield per Ha. at maximum capacity (MT)</t>
  </si>
  <si>
    <t xml:space="preserve">Total yield expected </t>
  </si>
  <si>
    <t>Total Ha.</t>
  </si>
  <si>
    <t xml:space="preserve">Ploughing </t>
  </si>
  <si>
    <t xml:space="preserve">Surface area in Ha. </t>
  </si>
  <si>
    <t xml:space="preserve">Fuel(ltrs) consumption per Ha. </t>
  </si>
  <si>
    <t>Total cost of ploughing</t>
  </si>
  <si>
    <t xml:space="preserve">Harrowing </t>
  </si>
  <si>
    <t xml:space="preserve">Cultivation </t>
  </si>
  <si>
    <t xml:space="preserve">Tools </t>
  </si>
  <si>
    <t xml:space="preserve">Number of units </t>
  </si>
  <si>
    <t xml:space="preserve">Cost per unit in USD  </t>
  </si>
  <si>
    <t xml:space="preserve">Total cost in USD </t>
  </si>
  <si>
    <t>Hoe</t>
  </si>
  <si>
    <t xml:space="preserve">Majeties </t>
  </si>
  <si>
    <t>Total</t>
  </si>
  <si>
    <t>Cost of renting land</t>
  </si>
  <si>
    <t xml:space="preserve">Annual cost per Ha. USD </t>
  </si>
  <si>
    <t xml:space="preserve">Total surface area in Ha. </t>
  </si>
  <si>
    <t xml:space="preserve">Inputs </t>
  </si>
  <si>
    <t xml:space="preserve">Fertilizers </t>
  </si>
  <si>
    <t xml:space="preserve">Herbizides </t>
  </si>
  <si>
    <t xml:space="preserve">Driver's per diem/Ha. </t>
  </si>
  <si>
    <t xml:space="preserve">cost of ploughing/Ha. </t>
  </si>
  <si>
    <t>Cost of cassava stems (Bundles)</t>
  </si>
  <si>
    <t xml:space="preserve">Cost of fertiliser 50Kg (NPK 17 17 17) </t>
  </si>
  <si>
    <t>Total cost($)</t>
  </si>
  <si>
    <t>Units/ Ha.</t>
  </si>
  <si>
    <t>Cost of fertiliser 50Kg (UREE)</t>
  </si>
  <si>
    <t>Cost of herbicides Glyphosate land preparation (ltrs)</t>
  </si>
  <si>
    <t xml:space="preserve">Pre-emergence herbicides ltrs(Primextra) </t>
  </si>
  <si>
    <t xml:space="preserve">Total </t>
  </si>
  <si>
    <t xml:space="preserve">Activities </t>
  </si>
  <si>
    <t>Cost of renting a tractor 75hp</t>
  </si>
  <si>
    <t xml:space="preserve">Total Ha. </t>
  </si>
  <si>
    <t>Units/Ha.</t>
  </si>
  <si>
    <t>Cost of renting a bulldozer (Land preparation)</t>
  </si>
  <si>
    <t xml:space="preserve">Unit cost/Ha.  ($) </t>
  </si>
  <si>
    <t>Unit cost/Ha. ($)</t>
  </si>
  <si>
    <t xml:space="preserve">Land clearing and preparation bulldozer </t>
  </si>
  <si>
    <t xml:space="preserve">Driver's per diem/Ha. ($) </t>
  </si>
  <si>
    <t>Cost of Deisel  ($)/ltrs</t>
  </si>
  <si>
    <t>Total cost of fuel ($)</t>
  </si>
  <si>
    <t>Total drivers per diem. ($)</t>
  </si>
  <si>
    <t>Cost of fuel/Ha. ($)</t>
  </si>
  <si>
    <t xml:space="preserve">Cost of Deisel ($)/ltrs  </t>
  </si>
  <si>
    <t>Cost of renting a bulldozer</t>
  </si>
  <si>
    <t xml:space="preserve">Cost of renting a tractor </t>
  </si>
  <si>
    <t>Cost of fuel /Ha. ($)</t>
  </si>
  <si>
    <t xml:space="preserve">Total cost of fuel ($) </t>
  </si>
  <si>
    <t>Cost of renting cassava planter 4 rows</t>
  </si>
  <si>
    <t xml:space="preserve">cost of Harrowing/Ha. </t>
  </si>
  <si>
    <t>Planting</t>
  </si>
  <si>
    <t xml:space="preserve">Weeding  </t>
  </si>
  <si>
    <t xml:space="preserve">Cost of renting a boom sprayer </t>
  </si>
  <si>
    <t>Cost of renting a boom spreader (500ltrs)</t>
  </si>
  <si>
    <t>Cost of renting a tractor plus fuel</t>
  </si>
  <si>
    <t xml:space="preserve">Cost of herbicides ($)/ltrs </t>
  </si>
  <si>
    <t xml:space="preserve">Total cost of herbicides ($) </t>
  </si>
  <si>
    <t xml:space="preserve">Cost of weeding/ Ha. </t>
  </si>
  <si>
    <t>Total cost of weeding ($)</t>
  </si>
  <si>
    <t>Machinery (renting)</t>
  </si>
  <si>
    <t xml:space="preserve">Consumption of hebicides ltrs/Ha. </t>
  </si>
  <si>
    <t>Post emergence Glufosynate (ltrs)</t>
  </si>
  <si>
    <t>pre-emergence</t>
  </si>
  <si>
    <t>post-emergence</t>
  </si>
  <si>
    <t xml:space="preserve">Planting </t>
  </si>
  <si>
    <t>Cost of labour per Ha./($)</t>
  </si>
  <si>
    <t xml:space="preserve">Total cost of labour. ($) </t>
  </si>
  <si>
    <t>Number of planters (labour)</t>
  </si>
  <si>
    <t>Total drivers per diem ($)</t>
  </si>
  <si>
    <t>Cost of renting a tractor plus fuel ($)</t>
  </si>
  <si>
    <t xml:space="preserve">Cost of renting cassava planter ($) </t>
  </si>
  <si>
    <t>Cost of cassava steme ($)</t>
  </si>
  <si>
    <t>Planter's per diem/Ha. ($)</t>
  </si>
  <si>
    <t xml:space="preserve">Total cost of planting ($) </t>
  </si>
  <si>
    <t>Cost of planting per Ha. ($)</t>
  </si>
  <si>
    <t xml:space="preserve">Harvesting </t>
  </si>
  <si>
    <t>Harvesting (labour)</t>
  </si>
  <si>
    <t>Cost/person  /Ha.</t>
  </si>
  <si>
    <t xml:space="preserve">Number of person </t>
  </si>
  <si>
    <t xml:space="preserve"> Calculation on cassava production cost and yield for mechanised cassava farming at farm gate. </t>
  </si>
  <si>
    <t>Cost of purchasing a tractor 75hp</t>
  </si>
  <si>
    <t>Cost of purchasing cassava planter 4 rows</t>
  </si>
  <si>
    <t>Cost of purchasing a boom spreader (500ltrs)</t>
  </si>
  <si>
    <t xml:space="preserve">Labour cost of harvesting /Ha. </t>
  </si>
  <si>
    <t xml:space="preserve">Total labour cost of harvesting </t>
  </si>
  <si>
    <t>Yeild/Ha. (KG)</t>
  </si>
  <si>
    <t xml:space="preserve">Yield/Ha. (tons) </t>
  </si>
  <si>
    <t>Total expected yield in Tons</t>
  </si>
  <si>
    <t>Expected sales revenue/Ha. ($)</t>
  </si>
  <si>
    <t>Sales price/Kg ($)</t>
  </si>
  <si>
    <t>Sales price/tons ($)</t>
  </si>
  <si>
    <t>Total expected sales revenue ($)</t>
  </si>
  <si>
    <t>Farm gate selling price ($)</t>
  </si>
  <si>
    <t>Land cost per Ha./year</t>
  </si>
  <si>
    <t>Total cost of renting the land ($)/year</t>
  </si>
  <si>
    <t xml:space="preserve">1.    Major assumptions  </t>
  </si>
  <si>
    <t xml:space="preserve">2. Cost of cassava production </t>
  </si>
  <si>
    <t>3. Yield and sales at farm gate price</t>
  </si>
  <si>
    <t xml:space="preserve">Machinery Purchased </t>
  </si>
  <si>
    <t xml:space="preserve">Cost of purchasing a harrow plough </t>
  </si>
  <si>
    <t xml:space="preserve">Profit and Loss account ending 1st year of operations </t>
  </si>
  <si>
    <t>(USD)$</t>
  </si>
  <si>
    <t>Total sales revenue</t>
  </si>
  <si>
    <t>Interest paid on credit card sales (1.2%)</t>
  </si>
  <si>
    <t xml:space="preserve">Gross profit </t>
  </si>
  <si>
    <t xml:space="preserve">Expenses </t>
  </si>
  <si>
    <t xml:space="preserve">Rent payable </t>
  </si>
  <si>
    <t xml:space="preserve">Shipping and packaging </t>
  </si>
  <si>
    <t xml:space="preserve">Salaries </t>
  </si>
  <si>
    <t xml:space="preserve">Marketing </t>
  </si>
  <si>
    <t xml:space="preserve">Operating profit </t>
  </si>
  <si>
    <t xml:space="preserve">EBITDA </t>
  </si>
  <si>
    <t>Depreciation</t>
  </si>
  <si>
    <t xml:space="preserve">Amortisation </t>
  </si>
  <si>
    <t>Total D&amp;A</t>
  </si>
  <si>
    <t>EBIT</t>
  </si>
  <si>
    <t xml:space="preserve">Interest on financing </t>
  </si>
  <si>
    <t>EBT</t>
  </si>
  <si>
    <t>EAT (Net income)</t>
  </si>
  <si>
    <t>Cost of fuel</t>
  </si>
  <si>
    <t xml:space="preserve">Harvesting tools </t>
  </si>
  <si>
    <t>Cost of cassava stems ($)</t>
  </si>
  <si>
    <t>Cost of fuel ($)</t>
  </si>
  <si>
    <t>Yield of fresh cassava roots per Ha. at maximum capacity (MT)</t>
  </si>
  <si>
    <t>Yield of cassava stems (bundles)</t>
  </si>
  <si>
    <t>Sale of cassava stems (Bundles)</t>
  </si>
  <si>
    <t xml:space="preserve">Yeild/Ha. (Kg) </t>
  </si>
  <si>
    <t>Sale of cassava roots</t>
  </si>
  <si>
    <t xml:space="preserve">Sale of cassava stems </t>
  </si>
  <si>
    <t xml:space="preserve">Revenue from sales of fresh cassava roots </t>
  </si>
  <si>
    <t xml:space="preserve">Revenue from sales of cassava stems </t>
  </si>
  <si>
    <t xml:space="preserve">Rented Machinery </t>
  </si>
  <si>
    <t xml:space="preserve">Production cost </t>
  </si>
  <si>
    <t xml:space="preserve">Cost of renting machines </t>
  </si>
  <si>
    <t xml:space="preserve">Land clearing </t>
  </si>
  <si>
    <t>Ploughing</t>
  </si>
  <si>
    <t xml:space="preserve">Weeding </t>
  </si>
  <si>
    <t>Harvesting</t>
  </si>
  <si>
    <t xml:space="preserve">  Inputs</t>
  </si>
  <si>
    <t xml:space="preserve">Land rates </t>
  </si>
  <si>
    <t>Tools</t>
  </si>
  <si>
    <t>Security</t>
  </si>
  <si>
    <t>Position</t>
  </si>
  <si>
    <t>Number of Staff</t>
  </si>
  <si>
    <t>Monthly Wage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</si>
  <si>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</si>
  <si>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</si>
  <si>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</si>
  <si>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</si>
  <si>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</si>
  <si>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</si>
  <si>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</si>
  <si>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</si>
  <si>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</si>
  <si>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</si>
  <si>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</si>
  <si>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</si>
  <si>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Annual salray </t>
  </si>
  <si>
    <t xml:space="preserve">Delivery Drivers </t>
  </si>
  <si>
    <t>Tractor drivers</t>
  </si>
  <si>
    <t xml:space="preserve">Driver's Aid  </t>
  </si>
  <si>
    <t>Security guards</t>
  </si>
  <si>
    <t xml:space="preserve">Temporary staff </t>
  </si>
  <si>
    <t xml:space="preserve">Cleanner </t>
  </si>
  <si>
    <t>Taxes</t>
  </si>
  <si>
    <t xml:space="preserve">Rate </t>
  </si>
  <si>
    <t>Total annual tax</t>
  </si>
  <si>
    <t>INSS</t>
  </si>
  <si>
    <t>INPP</t>
  </si>
  <si>
    <t>ONEM</t>
  </si>
  <si>
    <t>IPR</t>
  </si>
  <si>
    <t>Total monthly tax</t>
  </si>
  <si>
    <t xml:space="preserve">Activity </t>
  </si>
  <si>
    <t>surface area (Ha.)</t>
  </si>
  <si>
    <t>Number of   casual workers</t>
  </si>
  <si>
    <t>Frequency</t>
  </si>
  <si>
    <t xml:space="preserve">Pay per Ha. </t>
  </si>
  <si>
    <t xml:space="preserve"> Total pay per activity  </t>
  </si>
  <si>
    <t xml:space="preserve">Manual peeling </t>
  </si>
  <si>
    <t>Total indirect payroll</t>
  </si>
  <si>
    <t xml:space="preserve">2. Indirect payroll cassual labour </t>
  </si>
  <si>
    <t xml:space="preserve">1. Direct payroll for 100Ha. Cassava root production  </t>
  </si>
  <si>
    <t>Calculations on direct and indirect operational payroll costs and capitalized payroll costs</t>
  </si>
  <si>
    <t>Calculation of cost and depreciation of plant and equipment</t>
  </si>
  <si>
    <t xml:space="preserve">Purchased Machinery </t>
  </si>
  <si>
    <t>Asset</t>
  </si>
  <si>
    <t>Number units</t>
  </si>
  <si>
    <t xml:space="preserve">Total cost of construction/purchase USD </t>
  </si>
  <si>
    <t>Year purchased'</t>
  </si>
  <si>
    <t>Useful life of asset</t>
  </si>
  <si>
    <t>Asset retirement date</t>
  </si>
  <si>
    <t>Depreciation Rate</t>
  </si>
  <si>
    <t xml:space="preserve">Annual Depreciation USD </t>
  </si>
  <si>
    <t xml:space="preserve">Financial Ratios </t>
  </si>
  <si>
    <t>Profitability ratio</t>
  </si>
  <si>
    <t xml:space="preserve">Solvency ratios </t>
  </si>
  <si>
    <t xml:space="preserve">Financing Ratios  </t>
  </si>
  <si>
    <t>Cost of sales ratio %</t>
  </si>
  <si>
    <t>Liquidity Ratios</t>
  </si>
  <si>
    <t xml:space="preserve">Turnover ratio </t>
  </si>
  <si>
    <t>(cost of sales/value of sales)*100</t>
  </si>
  <si>
    <t>(current assest/current liabilitites)</t>
  </si>
  <si>
    <t xml:space="preserve"> Cost of Goods Sold / Average Inventory.</t>
  </si>
  <si>
    <t>Cost of Sales to Revenue Ratio, also called Sales-to-Revenue Ratio or Efficiency Ratio is a metric used to measure how productive or efficient is company's sales operation.</t>
  </si>
  <si>
    <t xml:space="preserve">This ratio allows to measure the company's ability to pay its short term debt. i.e subcontractors ect. A current ratio of 1.5 would indicate that the company has $1.50 of current assets for every $1 of current liabilities. </t>
  </si>
  <si>
    <t>The inventory turnover ratios formula measures how efficiently and quickly the business is able to sell the old stock and replace it with new stock of goods.</t>
  </si>
  <si>
    <t>Gross profit margin ratio in %</t>
  </si>
  <si>
    <t>Activity Ratios</t>
  </si>
  <si>
    <t>Gross Profit Margin = (Revenue – Cost of Goods Sold) / Revenue x 100</t>
  </si>
  <si>
    <t xml:space="preserve">This ratio will measure the performance efficiency of the company. </t>
  </si>
  <si>
    <t>Indicates how efficiently a company is leveraging the assets on its balance sheet, to generate revenues and cash.</t>
  </si>
  <si>
    <t xml:space="preserve">Operating profit margin </t>
  </si>
  <si>
    <t>Debt Ratios</t>
  </si>
  <si>
    <t> The operating profit margin is a profitability or performance ratio that reflects the percentage of profit a company produces from its operations before subtracting taxes and interest charges</t>
  </si>
  <si>
    <t>Net profit margin ratio</t>
  </si>
  <si>
    <t>Net Profit Margin = Net Profit ⁄ Total Revenue x 100</t>
  </si>
  <si>
    <t>This will determine what percentage of revenue is net profit. at 10% it means for every $1 the company makes $0.10 in profit/loss</t>
  </si>
  <si>
    <t>Statements of cash flows year ending 2024</t>
  </si>
  <si>
    <t>Q1</t>
  </si>
  <si>
    <t>Q2</t>
  </si>
  <si>
    <t>Q3</t>
  </si>
  <si>
    <t>Q4</t>
  </si>
  <si>
    <t xml:space="preserve">Jan </t>
  </si>
  <si>
    <t>Operating activities</t>
  </si>
  <si>
    <t>Net income</t>
  </si>
  <si>
    <t>Adjusments for non-cash items:</t>
  </si>
  <si>
    <t>Add back Depreciation</t>
  </si>
  <si>
    <t xml:space="preserve">   Interest</t>
  </si>
  <si>
    <t xml:space="preserve">   Tax</t>
  </si>
  <si>
    <t xml:space="preserve"> Cash outflow for goods purchased </t>
  </si>
  <si>
    <t xml:space="preserve"> Cash outflow of wages for casual workers </t>
  </si>
  <si>
    <t>Adjusments for movements in working capital:</t>
  </si>
  <si>
    <t xml:space="preserve">Add Decrease in Current Asset </t>
  </si>
  <si>
    <t>Add Increase in Current liabilities (Tax payable)</t>
  </si>
  <si>
    <t>Interest</t>
  </si>
  <si>
    <t>Cashflow from operating activities</t>
  </si>
  <si>
    <t>Investing activities</t>
  </si>
  <si>
    <t xml:space="preserve">Deposit and rent </t>
  </si>
  <si>
    <t xml:space="preserve">Investment in cassava stems </t>
  </si>
  <si>
    <t>investment in inputs (Fertiliser and herbizides)</t>
  </si>
  <si>
    <t xml:space="preserve">Investment in production activity </t>
  </si>
  <si>
    <t xml:space="preserve">Web site investment </t>
  </si>
  <si>
    <t xml:space="preserve">Market study investment </t>
  </si>
  <si>
    <t>Investments in tangible assets</t>
  </si>
  <si>
    <t>Cashflow from investing activities</t>
  </si>
  <si>
    <t>Financing activities</t>
  </si>
  <si>
    <t>Issuance of share capital</t>
  </si>
  <si>
    <t>Distribution of dividends</t>
  </si>
  <si>
    <t>Acquisition of debt</t>
  </si>
  <si>
    <t>Repayment of debt</t>
  </si>
  <si>
    <t>Interest paid</t>
  </si>
  <si>
    <t>Cashflow from financing activities</t>
  </si>
  <si>
    <t>Net cashflow</t>
  </si>
  <si>
    <t>Cash at the beginning of the year</t>
  </si>
  <si>
    <t>Cash at the end of the year (Based on cash flow)</t>
  </si>
  <si>
    <t>Cash at the end of the year based on Balance sheet</t>
  </si>
  <si>
    <t>Bulldozer</t>
  </si>
  <si>
    <t>Tractor</t>
  </si>
  <si>
    <t xml:space="preserve">Cassava planter 4 row </t>
  </si>
  <si>
    <t>Boom sprayer</t>
  </si>
  <si>
    <t>Harrow pluogh</t>
  </si>
  <si>
    <t>Interest on financing 18%</t>
  </si>
  <si>
    <t xml:space="preserve">Purchased machines </t>
  </si>
  <si>
    <t xml:space="preserve">Rented machines </t>
  </si>
  <si>
    <t>Balance sheet 2024</t>
  </si>
  <si>
    <t xml:space="preserve">ASSETS </t>
  </si>
  <si>
    <t>USD ($)</t>
  </si>
  <si>
    <t>LIABILITIES</t>
  </si>
  <si>
    <t xml:space="preserve">Non current assets </t>
  </si>
  <si>
    <t xml:space="preserve">Non current liabilities </t>
  </si>
  <si>
    <t>Long term debt</t>
  </si>
  <si>
    <t xml:space="preserve">Equipment </t>
  </si>
  <si>
    <t xml:space="preserve">Furniture </t>
  </si>
  <si>
    <t>Total non-current liabilities</t>
  </si>
  <si>
    <t xml:space="preserve">Goodwill </t>
  </si>
  <si>
    <t>Total non-current assets</t>
  </si>
  <si>
    <t xml:space="preserve">Accounts payable </t>
  </si>
  <si>
    <t>cooperate tax</t>
  </si>
  <si>
    <t xml:space="preserve">Current assets </t>
  </si>
  <si>
    <t xml:space="preserve">Total current liabilities </t>
  </si>
  <si>
    <t xml:space="preserve">Inventories </t>
  </si>
  <si>
    <t xml:space="preserve">Accounts receivables </t>
  </si>
  <si>
    <t>EQUITY</t>
  </si>
  <si>
    <t xml:space="preserve">Cash and equivalents </t>
  </si>
  <si>
    <t xml:space="preserve">Owners equity </t>
  </si>
  <si>
    <t>Investment</t>
  </si>
  <si>
    <t xml:space="preserve">prepaid expenses </t>
  </si>
  <si>
    <t xml:space="preserve">Retained profit </t>
  </si>
  <si>
    <t xml:space="preserve">Total Current Assets </t>
  </si>
  <si>
    <t xml:space="preserve">Total equity </t>
  </si>
  <si>
    <t xml:space="preserve">Total Assets </t>
  </si>
  <si>
    <t xml:space="preserve">Total liability </t>
  </si>
  <si>
    <t xml:space="preserve">Break even analysis from the first year of operations </t>
  </si>
  <si>
    <t xml:space="preserve">Fixed cost </t>
  </si>
  <si>
    <t>GBP (£)</t>
  </si>
  <si>
    <t xml:space="preserve">Purchase of special jig and tools </t>
  </si>
  <si>
    <t xml:space="preserve">Purchase of web design </t>
  </si>
  <si>
    <t xml:space="preserve">Part-time wages </t>
  </si>
  <si>
    <t xml:space="preserve">Total Fixed Cost </t>
  </si>
  <si>
    <t xml:space="preserve">Variable Cost </t>
  </si>
  <si>
    <t xml:space="preserve">Purchases of Geodes </t>
  </si>
  <si>
    <t xml:space="preserve">Frieght to Manchester </t>
  </si>
  <si>
    <t>Purchase of in cabinets and mounting accessories</t>
  </si>
  <si>
    <t>Total Variable Cost</t>
  </si>
  <si>
    <t>Revenue</t>
  </si>
  <si>
    <t xml:space="preserve">Revenue from sales of geodes  </t>
  </si>
  <si>
    <t xml:space="preserve">Revenue from sale of cabinets </t>
  </si>
  <si>
    <t xml:space="preserve">Total Revenue </t>
  </si>
  <si>
    <t>Land</t>
  </si>
  <si>
    <t>Fuel</t>
  </si>
  <si>
    <t>Sept</t>
  </si>
  <si>
    <t>Investment in inputs (Fertiliser and herbizides)</t>
  </si>
  <si>
    <t>Per diem</t>
  </si>
  <si>
    <t xml:space="preserve">Per diem </t>
  </si>
  <si>
    <t>Coperate tax payable 31%</t>
  </si>
  <si>
    <t>Net profit margin ratio %</t>
  </si>
  <si>
    <t>EBIT/Revenue*100</t>
  </si>
  <si>
    <t>Operating profit margin %</t>
  </si>
  <si>
    <t>remove $ sign from the values</t>
  </si>
  <si>
    <r>
      <t xml:space="preserve">Production cost </t>
    </r>
    <r>
      <rPr>
        <b/>
        <u val="singleAccounting"/>
        <sz val="11"/>
        <color rgb="FFFF0000"/>
        <rFont val="Calibri"/>
        <family val="2"/>
        <scheme val="minor"/>
      </rPr>
      <t xml:space="preserve"> (Direct Farm Costs)</t>
    </r>
  </si>
  <si>
    <t>Put dedcutions in bracket, no need to be in red</t>
  </si>
  <si>
    <t>This cannot feature.  This is a balance sheet item</t>
  </si>
  <si>
    <t xml:space="preserve"> Since it is a farm account we can simplified the </t>
  </si>
  <si>
    <t>presentation (Remove all the EBITDA/EBIT/EBT/EAT)</t>
  </si>
  <si>
    <t xml:space="preserve">we can show these in form of notes. This will enable </t>
  </si>
  <si>
    <t>them to be easily picked when they are needed in</t>
  </si>
  <si>
    <t>ratios computation</t>
  </si>
  <si>
    <t>Depreciation, using straight line method cost-residual value divide by useful life.</t>
  </si>
  <si>
    <t>Annual Value</t>
  </si>
  <si>
    <t>Annual Rates</t>
  </si>
  <si>
    <t>Zero residual value assumed.  In compliance with IFRS, $100 is taken for residual value</t>
  </si>
  <si>
    <t>Cashflow is based on estimated inflows and outflows of cash during a period.  It is to enable determine if money will be available to pay for goods/service as well as other financial obligations.</t>
  </si>
  <si>
    <t>salaries and wages</t>
  </si>
  <si>
    <t xml:space="preserve">AdministrativeExpenses </t>
  </si>
  <si>
    <t>Total operating expenses</t>
  </si>
  <si>
    <t>Total operating 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</si>
</sst>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[$£-809]* #,##0.00_-;\-[$£-809]* #,##0.00_-;_-[$£-809]* &quot;-&quot;??_-;_-@_-"/>
    <numFmt numFmtId="166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b/>
      <u/>
      <sz val="8"/>
      <color theme="1"/>
      <name val="Arial"/>
      <family val="2"/>
    </font>
    <font>
      <sz val="8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5F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8D07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5" xfId="0" applyBorder="1"/>
    <xf numFmtId="2" fontId="0" fillId="0" borderId="5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/>
    <xf numFmtId="1" fontId="0" fillId="0" borderId="0" xfId="0" applyNumberFormat="1"/>
    <xf numFmtId="2" fontId="0" fillId="4" borderId="2" xfId="0" applyNumberFormat="1" applyFill="1" applyBorder="1" applyAlignment="1">
      <alignment horizontal="right"/>
    </xf>
    <xf numFmtId="0" fontId="0" fillId="0" borderId="9" xfId="0" applyBorder="1"/>
    <xf numFmtId="2" fontId="0" fillId="0" borderId="9" xfId="0" applyNumberForma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0" fillId="4" borderId="5" xfId="0" applyFill="1" applyBorder="1"/>
    <xf numFmtId="2" fontId="0" fillId="4" borderId="5" xfId="0" applyNumberFormat="1" applyFill="1" applyBorder="1"/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4" borderId="5" xfId="0" applyFill="1" applyBorder="1" applyAlignment="1">
      <alignment horizontal="left"/>
    </xf>
    <xf numFmtId="2" fontId="0" fillId="4" borderId="5" xfId="0" applyNumberFormat="1" applyFill="1" applyBorder="1" applyAlignment="1">
      <alignment horizontal="right"/>
    </xf>
    <xf numFmtId="165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166" fontId="0" fillId="0" borderId="0" xfId="2" applyNumberFormat="1" applyFont="1" applyFill="1"/>
    <xf numFmtId="165" fontId="0" fillId="6" borderId="5" xfId="0" applyNumberFormat="1" applyFill="1" applyBorder="1"/>
    <xf numFmtId="166" fontId="0" fillId="6" borderId="5" xfId="2" applyNumberFormat="1" applyFont="1" applyFill="1" applyBorder="1"/>
    <xf numFmtId="166" fontId="0" fillId="6" borderId="5" xfId="0" applyNumberFormat="1" applyFill="1" applyBorder="1"/>
    <xf numFmtId="165" fontId="5" fillId="0" borderId="0" xfId="0" applyNumberFormat="1" applyFont="1"/>
    <xf numFmtId="44" fontId="0" fillId="0" borderId="0" xfId="2" applyFont="1"/>
    <xf numFmtId="166" fontId="2" fillId="0" borderId="0" xfId="0" applyNumberFormat="1" applyFont="1"/>
    <xf numFmtId="165" fontId="3" fillId="6" borderId="5" xfId="0" applyNumberFormat="1" applyFont="1" applyFill="1" applyBorder="1"/>
    <xf numFmtId="165" fontId="3" fillId="6" borderId="5" xfId="0" applyNumberFormat="1" applyFont="1" applyFill="1" applyBorder="1" applyAlignment="1">
      <alignment wrapText="1"/>
    </xf>
    <xf numFmtId="166" fontId="3" fillId="6" borderId="5" xfId="2" applyNumberFormat="1" applyFont="1" applyFill="1" applyBorder="1"/>
    <xf numFmtId="44" fontId="0" fillId="0" borderId="0" xfId="0" applyNumberFormat="1"/>
    <xf numFmtId="0" fontId="3" fillId="4" borderId="8" xfId="0" applyFont="1" applyFill="1" applyBorder="1"/>
    <xf numFmtId="44" fontId="0" fillId="4" borderId="8" xfId="0" applyNumberFormat="1" applyFill="1" applyBorder="1"/>
    <xf numFmtId="2" fontId="0" fillId="4" borderId="5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1" fillId="0" borderId="0" xfId="0" applyFont="1"/>
    <xf numFmtId="0" fontId="10" fillId="0" borderId="0" xfId="4" applyFont="1"/>
    <xf numFmtId="0" fontId="8" fillId="0" borderId="0" xfId="0" applyFont="1"/>
    <xf numFmtId="0" fontId="1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right" vertical="center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9" fillId="0" borderId="0" xfId="1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/>
    <xf numFmtId="0" fontId="1" fillId="0" borderId="9" xfId="0" applyFont="1" applyBorder="1"/>
    <xf numFmtId="10" fontId="12" fillId="0" borderId="0" xfId="1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7" borderId="0" xfId="0" applyFont="1" applyFill="1"/>
    <xf numFmtId="0" fontId="12" fillId="7" borderId="0" xfId="0" applyFont="1" applyFill="1" applyAlignment="1">
      <alignment horizontal="left"/>
    </xf>
    <xf numFmtId="0" fontId="12" fillId="7" borderId="0" xfId="0" applyFont="1" applyFill="1"/>
    <xf numFmtId="0" fontId="9" fillId="7" borderId="0" xfId="1" applyNumberFormat="1" applyFont="1" applyFill="1" applyBorder="1" applyAlignment="1">
      <alignment horizontal="right"/>
    </xf>
    <xf numFmtId="0" fontId="9" fillId="7" borderId="0" xfId="0" applyFont="1" applyFill="1" applyAlignment="1">
      <alignment horizontal="right"/>
    </xf>
    <xf numFmtId="0" fontId="9" fillId="7" borderId="0" xfId="0" applyFont="1" applyFill="1"/>
    <xf numFmtId="2" fontId="1" fillId="0" borderId="0" xfId="0" applyNumberFormat="1" applyFont="1"/>
    <xf numFmtId="0" fontId="0" fillId="9" borderId="11" xfId="0" applyFill="1" applyBorder="1"/>
    <xf numFmtId="0" fontId="0" fillId="0" borderId="7" xfId="0" applyBorder="1"/>
    <xf numFmtId="0" fontId="4" fillId="10" borderId="7" xfId="0" applyFont="1" applyFill="1" applyBorder="1"/>
    <xf numFmtId="0" fontId="0" fillId="0" borderId="7" xfId="3" applyNumberFormat="1" applyFont="1" applyBorder="1"/>
    <xf numFmtId="0" fontId="4" fillId="10" borderId="12" xfId="0" applyFont="1" applyFill="1" applyBorder="1"/>
    <xf numFmtId="0" fontId="0" fillId="10" borderId="7" xfId="0" applyFill="1" applyBorder="1"/>
    <xf numFmtId="9" fontId="0" fillId="0" borderId="7" xfId="3" applyFont="1" applyBorder="1"/>
    <xf numFmtId="0" fontId="0" fillId="0" borderId="13" xfId="0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wrapText="1"/>
    </xf>
    <xf numFmtId="0" fontId="4" fillId="0" borderId="14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10" fillId="0" borderId="0" xfId="0" applyFont="1"/>
    <xf numFmtId="0" fontId="13" fillId="0" borderId="0" xfId="0" applyFont="1"/>
    <xf numFmtId="0" fontId="9" fillId="0" borderId="0" xfId="0" applyFont="1" applyAlignment="1">
      <alignment horizontal="left" indent="1"/>
    </xf>
    <xf numFmtId="165" fontId="14" fillId="0" borderId="0" xfId="0" applyNumberFormat="1" applyFont="1"/>
    <xf numFmtId="0" fontId="8" fillId="4" borderId="15" xfId="0" applyFont="1" applyFill="1" applyBorder="1"/>
    <xf numFmtId="44" fontId="0" fillId="4" borderId="15" xfId="2" applyFont="1" applyFill="1" applyBorder="1"/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/>
    </xf>
    <xf numFmtId="44" fontId="0" fillId="4" borderId="15" xfId="0" applyNumberFormat="1" applyFill="1" applyBorder="1"/>
    <xf numFmtId="0" fontId="8" fillId="0" borderId="5" xfId="0" applyFont="1" applyBorder="1"/>
    <xf numFmtId="44" fontId="0" fillId="0" borderId="5" xfId="2" applyFont="1" applyBorder="1"/>
    <xf numFmtId="44" fontId="0" fillId="0" borderId="0" xfId="2" applyFont="1" applyFill="1" applyBorder="1"/>
    <xf numFmtId="0" fontId="0" fillId="0" borderId="4" xfId="0" applyBorder="1" applyAlignment="1">
      <alignment horizontal="center" vertical="top"/>
    </xf>
    <xf numFmtId="9" fontId="0" fillId="0" borderId="0" xfId="0" applyNumberFormat="1"/>
    <xf numFmtId="164" fontId="0" fillId="4" borderId="5" xfId="0" applyNumberFormat="1" applyFill="1" applyBorder="1"/>
    <xf numFmtId="165" fontId="3" fillId="0" borderId="0" xfId="0" applyNumberFormat="1" applyFont="1"/>
    <xf numFmtId="44" fontId="15" fillId="0" borderId="0" xfId="2" applyFont="1"/>
    <xf numFmtId="44" fontId="3" fillId="0" borderId="0" xfId="2" applyFont="1"/>
    <xf numFmtId="44" fontId="3" fillId="0" borderId="0" xfId="2" applyFont="1" applyBorder="1"/>
    <xf numFmtId="0" fontId="3" fillId="0" borderId="5" xfId="0" applyFont="1" applyBorder="1"/>
    <xf numFmtId="44" fontId="3" fillId="0" borderId="5" xfId="2" applyFont="1" applyBorder="1"/>
    <xf numFmtId="44" fontId="0" fillId="9" borderId="5" xfId="2" applyFont="1" applyFill="1" applyBorder="1"/>
    <xf numFmtId="0" fontId="16" fillId="0" borderId="0" xfId="0" applyFont="1"/>
    <xf numFmtId="165" fontId="0" fillId="0" borderId="5" xfId="2" applyNumberFormat="1" applyFont="1" applyBorder="1"/>
    <xf numFmtId="165" fontId="3" fillId="0" borderId="5" xfId="0" applyNumberFormat="1" applyFont="1" applyBorder="1"/>
    <xf numFmtId="43" fontId="0" fillId="0" borderId="0" xfId="1" applyFont="1" applyAlignment="1">
      <alignment horizontal="right"/>
    </xf>
    <xf numFmtId="43" fontId="0" fillId="3" borderId="5" xfId="1" applyFont="1" applyFill="1" applyBorder="1" applyAlignment="1">
      <alignment horizontal="right"/>
    </xf>
    <xf numFmtId="43" fontId="0" fillId="4" borderId="5" xfId="1" applyFont="1" applyFill="1" applyBorder="1"/>
    <xf numFmtId="1" fontId="0" fillId="0" borderId="7" xfId="0" applyNumberFormat="1" applyBorder="1"/>
    <xf numFmtId="1" fontId="0" fillId="0" borderId="7" xfId="3" applyNumberFormat="1" applyFont="1" applyBorder="1"/>
    <xf numFmtId="0" fontId="4" fillId="0" borderId="3" xfId="0" applyFont="1" applyBorder="1" applyAlignment="1">
      <alignment wrapText="1"/>
    </xf>
    <xf numFmtId="166" fontId="19" fillId="0" borderId="0" xfId="2" applyNumberFormat="1" applyFont="1"/>
    <xf numFmtId="165" fontId="0" fillId="9" borderId="0" xfId="0" applyNumberFormat="1" applyFill="1"/>
    <xf numFmtId="9" fontId="0" fillId="0" borderId="0" xfId="3" applyFont="1"/>
    <xf numFmtId="1" fontId="0" fillId="0" borderId="0" xfId="3" applyNumberFormat="1" applyFont="1"/>
    <xf numFmtId="0" fontId="0" fillId="9" borderId="0" xfId="0" applyFill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9" fillId="0" borderId="0" xfId="4" applyFont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2 2" xfId="4" xr:uid="{581CCEC3-CAE9-4338-9F75-2F84DF5E53E2}"/>
    <cellStyle name="Percent" xfId="3" builtinId="5"/>
  </cellStyles>
  <dxfs count="0"/>
  <tableStyles count="0" defaultTableStyle="TableStyleMedium2" defaultPivotStyle="PivotStyleLight16"/>
  <colors>
    <mruColors>
      <color rgb="FFA8D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giar-my.sharepoint.com/personal/jn_sanginga_cgiar_org/Documents/Documents/IITA/Cassava/Cassava%20production%20profitability%20-%20smallholder%20farmers.xlsx" TargetMode="External"/><Relationship Id="rId1" Type="http://schemas.openxmlformats.org/officeDocument/2006/relationships/externalLinkPath" Target="https://outlook.office.com/personal/jn_sanginga_cgiar_org/Documents/Documents/IITA/Cassava/Cassava%20production%20profitability%20-%20smallholder%20farme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giar-my.sharepoint.com/personal/jn_sanginga_cgiar_org/Documents/Documents/IITA/Cassava/Cost%20benefit%20and%20profitabilty%20model%20for%20cassava%20processing.xlsx" TargetMode="External"/><Relationship Id="rId1" Type="http://schemas.openxmlformats.org/officeDocument/2006/relationships/externalLinkPath" Target="https://outlook.office.com/personal/jn_sanginga_cgiar_org/Documents/Documents/IITA/Cassava/Cost%20benefit%20and%20profitabilty%20model%20for%20cassava%20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ios"/>
      <sheetName val="Cashflow "/>
      <sheetName val="Income statement"/>
      <sheetName val="Balance sheet "/>
      <sheetName val="Tab 1-Root production "/>
      <sheetName val="smallholders"/>
      <sheetName val="Mechanised farming"/>
      <sheetName val="Tab 2 - Labour cost "/>
      <sheetName val="Tab 3 - Sales forcast|revenue "/>
    </sheetNames>
    <sheetDataSet>
      <sheetData sheetId="0"/>
      <sheetData sheetId="1"/>
      <sheetData sheetId="2">
        <row r="10">
          <cell r="B10">
            <v>10000</v>
          </cell>
        </row>
        <row r="11">
          <cell r="B11"/>
        </row>
        <row r="12">
          <cell r="B12">
            <v>105</v>
          </cell>
        </row>
        <row r="25">
          <cell r="B25">
            <v>16254.666666666664</v>
          </cell>
        </row>
        <row r="46">
          <cell r="B46">
            <v>351929.29333333328</v>
          </cell>
        </row>
        <row r="48">
          <cell r="C48">
            <v>904961.04</v>
          </cell>
        </row>
      </sheetData>
      <sheetData sheetId="3"/>
      <sheetData sheetId="4">
        <row r="39">
          <cell r="N39">
            <v>750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s Ratios "/>
      <sheetName val="Income statement"/>
      <sheetName val="Balance sheet "/>
      <sheetName val="Cashflow forecast"/>
      <sheetName val="Breakeven"/>
      <sheetName val="Tab -1 Sales forcast|revenue "/>
      <sheetName val="Tab - 2 Direct cost "/>
      <sheetName val="Tab - 3 P&amp;E|Depreciation "/>
      <sheetName val="Tab 4 - Payroll cost "/>
      <sheetName val="Tab 4a Payroll"/>
      <sheetName val="Tab 5 - Cassava Prd|yeild "/>
    </sheetNames>
    <sheetDataSet>
      <sheetData sheetId="0"/>
      <sheetData sheetId="1">
        <row r="6">
          <cell r="C6">
            <v>607031.25</v>
          </cell>
        </row>
        <row r="22">
          <cell r="C22">
            <v>53350</v>
          </cell>
        </row>
        <row r="23">
          <cell r="C23">
            <v>553681.25</v>
          </cell>
        </row>
        <row r="50">
          <cell r="C50">
            <v>398650.5</v>
          </cell>
        </row>
      </sheetData>
      <sheetData sheetId="2">
        <row r="13">
          <cell r="G13">
            <v>0</v>
          </cell>
        </row>
        <row r="19">
          <cell r="C19">
            <v>1000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suf, Ahmed (IITA)" id="{892DC210-1DFE-414F-A827-744FC2078E2C}" userId="S::Ah.Yusuf@cgiar.org::e8b9d80d-229e-485d-99a5-7df535fe383e" providerId="AD"/>
  <person displayName="Sanginga, Jerry Ntale (IITA)" id="{6E704D43-0767-4571-9025-4FE8FEC51A86}" userId="S::JN.Sanginga@cgiar.org::3d12605f-182b-46cf-817c-904cf3b380e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4" dT="2024-07-25T14:19:24.53" personId="{6E704D43-0767-4571-9025-4FE8FEC51A86}" id="{342A1C3B-D84B-4CD1-A809-D8253E6D2D80}">
    <text>Check price of renting per ha.</text>
  </threadedComment>
  <threadedComment ref="D60" dT="2024-07-25T14:38:29.46" personId="{6E704D43-0767-4571-9025-4FE8FEC51A86}" id="{AACDAC10-71B7-4DB5-8075-DDA89E6D698A}">
    <text>Increase the number of people (100)</text>
  </threadedComment>
  <threadedComment ref="D60" dT="2024-07-25T14:40:45.83" personId="{6E704D43-0767-4571-9025-4FE8FEC51A86}" id="{167A21FB-8AFD-47CA-9AEF-266AE701B2C0}" parentId="{AACDAC10-71B7-4DB5-8075-DDA89E6D698A}">
    <text>Look at cassava harvester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8" dT="2024-07-25T15:12:36.74" personId="{6E704D43-0767-4571-9025-4FE8FEC51A86}" id="{6B476C5B-BC99-426B-82EF-D51B69C77938}">
    <text>Get a cheaper price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7" dT="2024-07-30T15:29:26.89" personId="{892DC210-1DFE-414F-A827-744FC2078E2C}" id="{FC4E3BAD-5B47-41D6-AFA6-C54806B1A9F8}">
    <text>Administrative Expense</text>
  </threadedComment>
  <threadedComment ref="G18" dT="2024-07-30T15:29:54.17" personId="{892DC210-1DFE-414F-A827-744FC2078E2C}" id="{CE9D8E30-47AA-4D07-80D0-07C913B40E13}">
    <text>Administrative Expenses</text>
  </threadedComment>
  <threadedComment ref="G21" dT="2024-07-30T15:35:52.71" personId="{892DC210-1DFE-414F-A827-744FC2078E2C}" id="{363E3279-6D60-4CD7-944F-BF840A297372}">
    <text>Salaries &amp; Wages.  We can add perdiem value to this caption.</text>
  </threadedComment>
  <threadedComment ref="G21" dT="2024-09-30T13:19:40.87" personId="{6E704D43-0767-4571-9025-4FE8FEC51A86}" id="{30608EDC-FBF6-404C-9B64-2C8E5E554538}" parentId="{363E3279-6D60-4CD7-944F-BF840A297372}">
    <text>Done</text>
  </threadedComment>
  <threadedComment ref="G25" dT="2024-07-30T15:31:05.43" personId="{892DC210-1DFE-414F-A827-744FC2078E2C}" id="{6FA268D2-D962-4B40-AB1F-00AF8686D692}">
    <text>Look for better words</text>
  </threadedComment>
  <threadedComment ref="G28" dT="2024-07-30T15:31:46.68" personId="{892DC210-1DFE-414F-A827-744FC2078E2C}" id="{3615CDE3-862B-470F-9EFB-776412BE6406}">
    <text>Total Operating Expenses</text>
  </threadedComment>
  <threadedComment ref="G29" dT="2024-07-30T15:33:02.41" personId="{892DC210-1DFE-414F-A827-744FC2078E2C}" id="{0E11BEC1-CAFC-4581-AE7C-F4E8A10FBB93}">
    <text>Net Farm Income</text>
  </threadedComment>
  <threadedComment ref="J30" dT="2024-10-02T10:58:54.78" personId="{6E704D43-0767-4571-9025-4FE8FEC51A86}" id="{0E5654A0-14B3-453A-9E3C-93356CB04492}">
    <text>Sir, I think that this is important to tell the different expenses at every stage.</text>
  </threadedComment>
  <threadedComment ref="I37" dT="2024-07-30T15:45:04.59" personId="{892DC210-1DFE-414F-A827-744FC2078E2C}" id="{E41C93F6-FA5B-4B1F-AF90-0D6DEBCDDA60}">
    <text>When deduction is only one item, move to the last column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4" dT="2024-07-30T15:47:49.95" personId="{892DC210-1DFE-414F-A827-744FC2078E2C}" id="{DCC632E1-F499-4E5C-AA86-277C3B896F03}">
    <text>How did you come about 5%</text>
  </threadedComment>
  <threadedComment ref="C8" dT="2024-07-30T15:47:03.82" personId="{892DC210-1DFE-414F-A827-744FC2078E2C}" id="{020175BB-53A0-4BDE-AE16-A2A93DB4FCF2}">
    <text xml:space="preserve">Remove this from here.  It is a consumable item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280A-4EB9-4A01-ACFD-8ADEC5597832}">
  <dimension ref="A1:AC95"/>
  <sheetViews>
    <sheetView topLeftCell="A35" zoomScaleNormal="100" workbookViewId="0">
      <selection activeCell="C78" sqref="C78"/>
    </sheetView>
  </sheetViews>
  <sheetFormatPr defaultRowHeight="14.75" x14ac:dyDescent="0.75"/>
  <cols>
    <col min="1" max="1" width="26.26953125" bestFit="1" customWidth="1"/>
    <col min="2" max="2" width="11.26953125" customWidth="1"/>
    <col min="3" max="3" width="12.90625" customWidth="1"/>
    <col min="4" max="4" width="15" customWidth="1"/>
    <col min="5" max="5" width="11.90625" customWidth="1"/>
    <col min="6" max="6" width="10.90625" customWidth="1"/>
    <col min="7" max="7" width="9.54296875" customWidth="1"/>
    <col min="8" max="8" width="12.453125" customWidth="1"/>
    <col min="9" max="9" width="11.54296875" customWidth="1"/>
    <col min="10" max="10" width="9.54296875" customWidth="1"/>
    <col min="11" max="11" width="9.81640625" bestFit="1" customWidth="1"/>
    <col min="18" max="18" width="15.7265625" customWidth="1"/>
    <col min="20" max="20" width="19.81640625" customWidth="1"/>
    <col min="28" max="28" width="9.36328125" bestFit="1" customWidth="1"/>
  </cols>
  <sheetData>
    <row r="1" spans="1:10" x14ac:dyDescent="0.75">
      <c r="A1" s="158" t="s">
        <v>83</v>
      </c>
      <c r="B1" s="158"/>
      <c r="C1" s="158"/>
      <c r="D1" s="158"/>
      <c r="E1" s="158"/>
      <c r="F1" s="158"/>
      <c r="G1" s="158"/>
      <c r="H1" s="158"/>
      <c r="I1" s="158"/>
      <c r="J1" s="158"/>
    </row>
    <row r="4" spans="1:10" x14ac:dyDescent="0.75">
      <c r="A4" s="164" t="s">
        <v>99</v>
      </c>
      <c r="B4" s="165"/>
      <c r="C4" s="165"/>
      <c r="D4" s="165"/>
      <c r="E4" s="165"/>
      <c r="F4" s="165"/>
      <c r="G4" s="165"/>
      <c r="H4" s="165"/>
      <c r="I4" s="165"/>
      <c r="J4" s="166"/>
    </row>
    <row r="5" spans="1:10" x14ac:dyDescent="0.75">
      <c r="B5" t="s">
        <v>0</v>
      </c>
      <c r="H5">
        <v>100</v>
      </c>
    </row>
    <row r="6" spans="1:10" x14ac:dyDescent="0.75">
      <c r="B6" t="s">
        <v>1</v>
      </c>
      <c r="H6">
        <v>10000</v>
      </c>
    </row>
    <row r="7" spans="1:10" x14ac:dyDescent="0.75">
      <c r="B7" t="s">
        <v>2</v>
      </c>
      <c r="H7">
        <v>20</v>
      </c>
    </row>
    <row r="8" spans="1:10" x14ac:dyDescent="0.75">
      <c r="B8" t="s">
        <v>3</v>
      </c>
      <c r="H8">
        <f>SUM(H7*H5)</f>
        <v>2000</v>
      </c>
    </row>
    <row r="9" spans="1:10" x14ac:dyDescent="0.75">
      <c r="B9" t="s">
        <v>96</v>
      </c>
      <c r="H9">
        <v>107</v>
      </c>
    </row>
    <row r="10" spans="1:10" x14ac:dyDescent="0.75">
      <c r="B10" t="s">
        <v>97</v>
      </c>
      <c r="H10">
        <v>250</v>
      </c>
    </row>
    <row r="11" spans="1:10" x14ac:dyDescent="0.75">
      <c r="A11" s="164" t="s">
        <v>100</v>
      </c>
      <c r="B11" s="165"/>
      <c r="C11" s="165"/>
      <c r="D11" s="165"/>
      <c r="E11" s="165"/>
      <c r="F11" s="165"/>
      <c r="G11" s="165"/>
      <c r="H11" s="165"/>
      <c r="I11" s="165"/>
      <c r="J11" s="166"/>
    </row>
    <row r="12" spans="1:10" ht="29.5" x14ac:dyDescent="0.75">
      <c r="A12" s="3" t="s">
        <v>21</v>
      </c>
      <c r="B12" s="25"/>
      <c r="C12" s="25"/>
      <c r="D12" s="25"/>
      <c r="E12" s="4" t="s">
        <v>4</v>
      </c>
      <c r="F12" s="26" t="s">
        <v>39</v>
      </c>
      <c r="G12" s="26" t="s">
        <v>29</v>
      </c>
      <c r="H12" s="26" t="s">
        <v>28</v>
      </c>
    </row>
    <row r="13" spans="1:10" x14ac:dyDescent="0.75">
      <c r="B13" s="163" t="s">
        <v>26</v>
      </c>
      <c r="C13" s="163"/>
      <c r="D13" s="163"/>
      <c r="E13" s="1">
        <v>100</v>
      </c>
      <c r="F13" s="15">
        <v>2</v>
      </c>
      <c r="G13" s="16">
        <v>60</v>
      </c>
      <c r="H13" s="145">
        <f>SUM(G13*F13)*E13</f>
        <v>12000</v>
      </c>
    </row>
    <row r="14" spans="1:10" x14ac:dyDescent="0.75">
      <c r="B14" s="163" t="s">
        <v>27</v>
      </c>
      <c r="C14" s="163"/>
      <c r="D14" s="163"/>
      <c r="E14" s="1">
        <v>100</v>
      </c>
      <c r="F14" s="15">
        <v>60</v>
      </c>
      <c r="G14" s="1">
        <v>300</v>
      </c>
      <c r="H14" s="145">
        <f>SUM(G14/50)*(F14*E14)</f>
        <v>36000</v>
      </c>
    </row>
    <row r="15" spans="1:10" x14ac:dyDescent="0.75">
      <c r="B15" t="s">
        <v>30</v>
      </c>
      <c r="E15" s="1">
        <v>100</v>
      </c>
      <c r="F15" s="15">
        <v>55</v>
      </c>
      <c r="G15" s="1">
        <v>150</v>
      </c>
      <c r="H15" s="145">
        <f>SUM(G15/50)*(F15*E15)</f>
        <v>16500</v>
      </c>
    </row>
    <row r="16" spans="1:10" x14ac:dyDescent="0.75">
      <c r="B16" s="163" t="s">
        <v>31</v>
      </c>
      <c r="C16" s="163"/>
      <c r="D16" s="163"/>
      <c r="E16" s="1">
        <v>100</v>
      </c>
      <c r="F16" s="15">
        <v>15</v>
      </c>
      <c r="G16" s="1">
        <v>5</v>
      </c>
      <c r="H16" s="145">
        <f>SUM(G16*F16)*E16</f>
        <v>7500</v>
      </c>
    </row>
    <row r="17" spans="1:17" x14ac:dyDescent="0.75">
      <c r="B17" s="163" t="s">
        <v>32</v>
      </c>
      <c r="C17" s="163"/>
      <c r="D17" s="163"/>
      <c r="E17" s="1">
        <v>100</v>
      </c>
      <c r="F17" s="15">
        <v>15</v>
      </c>
      <c r="G17" s="1">
        <v>4</v>
      </c>
      <c r="H17" s="145">
        <f t="shared" ref="H17:H18" si="0">SUM(G17*F17)*E17</f>
        <v>6000</v>
      </c>
    </row>
    <row r="18" spans="1:17" x14ac:dyDescent="0.75">
      <c r="B18" s="163" t="s">
        <v>65</v>
      </c>
      <c r="C18" s="163"/>
      <c r="D18" s="163"/>
      <c r="E18" s="1">
        <v>100</v>
      </c>
      <c r="F18" s="15">
        <v>15</v>
      </c>
      <c r="G18" s="1">
        <v>4</v>
      </c>
      <c r="H18" s="145">
        <f t="shared" si="0"/>
        <v>6000</v>
      </c>
    </row>
    <row r="19" spans="1:17" ht="15.5" thickBot="1" x14ac:dyDescent="0.9">
      <c r="B19" s="17" t="s">
        <v>33</v>
      </c>
      <c r="C19" s="17"/>
      <c r="D19" s="17"/>
      <c r="E19" s="18"/>
      <c r="F19" s="19">
        <f>SUM(F13:F18)</f>
        <v>162</v>
      </c>
      <c r="G19" s="20">
        <f>SUM(G13:G18)</f>
        <v>523</v>
      </c>
      <c r="H19" s="146">
        <f>SUM(H13:H18)</f>
        <v>84000</v>
      </c>
    </row>
    <row r="20" spans="1:17" ht="15.5" thickTop="1" x14ac:dyDescent="0.75">
      <c r="E20" s="1"/>
      <c r="F20" s="22"/>
      <c r="G20" s="16"/>
      <c r="H20" s="15"/>
    </row>
    <row r="21" spans="1:17" x14ac:dyDescent="0.75">
      <c r="E21" s="1"/>
      <c r="F21" s="22"/>
      <c r="G21" s="16"/>
      <c r="H21" s="15"/>
    </row>
    <row r="22" spans="1:17" ht="44.25" customHeight="1" x14ac:dyDescent="0.75">
      <c r="A22" s="160" t="s">
        <v>63</v>
      </c>
      <c r="B22" s="160"/>
      <c r="C22" s="27"/>
      <c r="D22" s="27"/>
      <c r="E22" s="28" t="s">
        <v>36</v>
      </c>
      <c r="F22" s="29" t="s">
        <v>40</v>
      </c>
      <c r="G22" s="30" t="s">
        <v>37</v>
      </c>
      <c r="H22" s="29" t="s">
        <v>28</v>
      </c>
      <c r="N22" s="160"/>
      <c r="O22" s="160"/>
      <c r="P22" s="160"/>
    </row>
    <row r="23" spans="1:17" x14ac:dyDescent="0.75">
      <c r="B23" s="163" t="s">
        <v>38</v>
      </c>
      <c r="C23" s="163"/>
      <c r="D23" s="163"/>
      <c r="E23" s="1">
        <v>100</v>
      </c>
      <c r="F23" s="22">
        <v>60</v>
      </c>
      <c r="G23" s="16">
        <v>1</v>
      </c>
      <c r="H23" s="15">
        <f>SUM(F23*E23)</f>
        <v>6000</v>
      </c>
    </row>
    <row r="24" spans="1:17" x14ac:dyDescent="0.75">
      <c r="B24" s="163" t="s">
        <v>35</v>
      </c>
      <c r="C24" s="163"/>
      <c r="D24" s="163"/>
      <c r="E24" s="1">
        <v>100</v>
      </c>
      <c r="F24" s="22">
        <v>75</v>
      </c>
      <c r="G24" s="16">
        <v>1</v>
      </c>
      <c r="H24" s="15">
        <f>SUM(F24*E24)</f>
        <v>7500</v>
      </c>
    </row>
    <row r="25" spans="1:17" x14ac:dyDescent="0.75">
      <c r="B25" s="163" t="s">
        <v>52</v>
      </c>
      <c r="C25" s="163"/>
      <c r="D25" s="163"/>
      <c r="E25" s="1">
        <v>100</v>
      </c>
      <c r="F25" s="22">
        <v>65</v>
      </c>
      <c r="G25" s="16">
        <v>1</v>
      </c>
      <c r="H25" s="15">
        <f>SUM(F25*E25)</f>
        <v>6500</v>
      </c>
    </row>
    <row r="26" spans="1:17" x14ac:dyDescent="0.75">
      <c r="B26" s="162" t="s">
        <v>57</v>
      </c>
      <c r="C26" s="162"/>
      <c r="D26" s="162"/>
      <c r="E26" s="1">
        <v>100</v>
      </c>
      <c r="F26" s="22">
        <v>25</v>
      </c>
      <c r="G26" s="16">
        <v>1</v>
      </c>
      <c r="H26" s="15">
        <f>SUM(F26*E26)</f>
        <v>2500</v>
      </c>
    </row>
    <row r="27" spans="1:17" ht="15.5" thickBot="1" x14ac:dyDescent="0.9">
      <c r="B27" s="168" t="s">
        <v>17</v>
      </c>
      <c r="C27" s="168"/>
      <c r="D27" s="168"/>
      <c r="E27" s="31"/>
      <c r="F27" s="32">
        <f>F23+F24</f>
        <v>135</v>
      </c>
      <c r="G27" s="33"/>
      <c r="H27" s="34">
        <f>H23+H24+H25+H26</f>
        <v>22500</v>
      </c>
    </row>
    <row r="28" spans="1:17" ht="15.5" thickTop="1" x14ac:dyDescent="0.75">
      <c r="B28" s="169"/>
      <c r="C28" s="169"/>
      <c r="D28" s="169"/>
      <c r="E28" s="1"/>
      <c r="F28" s="22"/>
      <c r="G28" s="16"/>
      <c r="H28" s="15"/>
    </row>
    <row r="29" spans="1:17" x14ac:dyDescent="0.75">
      <c r="E29" s="1"/>
      <c r="F29" s="22"/>
      <c r="G29" s="16"/>
      <c r="H29" s="15"/>
    </row>
    <row r="30" spans="1:17" x14ac:dyDescent="0.75">
      <c r="A30" s="3" t="s">
        <v>34</v>
      </c>
      <c r="E30" s="1"/>
      <c r="F30" s="22"/>
      <c r="G30" s="16"/>
      <c r="H30" s="15"/>
      <c r="Q30" s="3"/>
    </row>
    <row r="31" spans="1:17" x14ac:dyDescent="0.75">
      <c r="E31" s="1"/>
      <c r="F31" s="1"/>
      <c r="G31" s="1"/>
    </row>
    <row r="32" spans="1:17" x14ac:dyDescent="0.75">
      <c r="B32" s="161" t="s">
        <v>41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8" ht="44.25" x14ac:dyDescent="0.75">
      <c r="B33" s="24" t="s">
        <v>6</v>
      </c>
      <c r="C33" s="24" t="s">
        <v>48</v>
      </c>
      <c r="D33" s="24" t="s">
        <v>7</v>
      </c>
      <c r="E33" s="24" t="s">
        <v>43</v>
      </c>
      <c r="F33" s="24" t="s">
        <v>46</v>
      </c>
      <c r="G33" s="24" t="s">
        <v>44</v>
      </c>
      <c r="H33" s="24" t="s">
        <v>42</v>
      </c>
      <c r="I33" s="24" t="s">
        <v>45</v>
      </c>
      <c r="J33" s="24" t="s">
        <v>25</v>
      </c>
      <c r="K33" s="24" t="s">
        <v>8</v>
      </c>
    </row>
    <row r="34" spans="1:18" x14ac:dyDescent="0.75">
      <c r="B34" s="38">
        <v>100</v>
      </c>
      <c r="C34" s="39">
        <f>H23</f>
        <v>6000</v>
      </c>
      <c r="D34" s="38">
        <v>25</v>
      </c>
      <c r="E34" s="40">
        <v>1.25</v>
      </c>
      <c r="F34" s="38">
        <f>E34*D34</f>
        <v>31.25</v>
      </c>
      <c r="G34" s="39">
        <f>SUM(D34*B34)*E34</f>
        <v>3125</v>
      </c>
      <c r="H34" s="38">
        <v>2.33</v>
      </c>
      <c r="I34" s="39">
        <f>SUM(H34*B34)</f>
        <v>233</v>
      </c>
      <c r="J34" s="39">
        <f>H34+F34+F23</f>
        <v>93.58</v>
      </c>
      <c r="K34" s="39">
        <f>SUM(J34*B34)+C34</f>
        <v>15358</v>
      </c>
    </row>
    <row r="36" spans="1:18" x14ac:dyDescent="0.75">
      <c r="B36" s="161" t="s">
        <v>5</v>
      </c>
      <c r="C36" s="161"/>
      <c r="D36" s="161"/>
      <c r="E36" s="161"/>
      <c r="F36" s="161"/>
      <c r="G36" s="161"/>
      <c r="H36" s="161"/>
      <c r="I36" s="161"/>
      <c r="J36" s="161"/>
      <c r="K36" s="161"/>
    </row>
    <row r="37" spans="1:18" ht="44.25" x14ac:dyDescent="0.75">
      <c r="B37" s="23" t="s">
        <v>6</v>
      </c>
      <c r="C37" s="24" t="s">
        <v>49</v>
      </c>
      <c r="D37" s="23" t="s">
        <v>7</v>
      </c>
      <c r="E37" s="23" t="s">
        <v>47</v>
      </c>
      <c r="F37" s="24" t="s">
        <v>50</v>
      </c>
      <c r="G37" s="24" t="s">
        <v>51</v>
      </c>
      <c r="H37" s="23" t="s">
        <v>24</v>
      </c>
      <c r="I37" s="23" t="s">
        <v>45</v>
      </c>
      <c r="J37" s="24" t="s">
        <v>25</v>
      </c>
      <c r="K37" s="23" t="s">
        <v>8</v>
      </c>
    </row>
    <row r="38" spans="1:18" x14ac:dyDescent="0.75">
      <c r="B38" s="37">
        <v>100</v>
      </c>
      <c r="C38" s="39">
        <f>H24</f>
        <v>7500</v>
      </c>
      <c r="D38" s="37">
        <v>25</v>
      </c>
      <c r="E38" s="40">
        <v>1.25</v>
      </c>
      <c r="F38" s="38">
        <f>E38*D38</f>
        <v>31.25</v>
      </c>
      <c r="G38" s="39">
        <f>F38*B38</f>
        <v>3125</v>
      </c>
      <c r="H38" s="44">
        <v>2.33</v>
      </c>
      <c r="I38" s="41">
        <f>H38*B38</f>
        <v>233</v>
      </c>
      <c r="J38" s="39">
        <f>SUM(F38+H38+F24)</f>
        <v>108.58</v>
      </c>
      <c r="K38" s="39">
        <f>SUM(J38*B38)+C38</f>
        <v>18358</v>
      </c>
    </row>
    <row r="39" spans="1:18" x14ac:dyDescent="0.75">
      <c r="B39" s="1"/>
      <c r="C39" s="5"/>
      <c r="D39" s="1"/>
      <c r="E39" s="36"/>
      <c r="G39" s="5"/>
      <c r="H39" s="15"/>
      <c r="I39" s="16"/>
      <c r="J39" s="5"/>
      <c r="K39" s="5"/>
    </row>
    <row r="40" spans="1:18" x14ac:dyDescent="0.75">
      <c r="B40" s="159" t="s">
        <v>9</v>
      </c>
      <c r="C40" s="159"/>
      <c r="D40" s="159"/>
      <c r="E40" s="159"/>
      <c r="F40" s="159"/>
      <c r="G40" s="159"/>
      <c r="H40" s="159"/>
      <c r="I40" s="159"/>
      <c r="J40" s="159"/>
      <c r="K40" s="159"/>
    </row>
    <row r="41" spans="1:18" ht="44.25" x14ac:dyDescent="0.75">
      <c r="B41" s="23" t="s">
        <v>6</v>
      </c>
      <c r="C41" s="24" t="s">
        <v>49</v>
      </c>
      <c r="D41" s="23" t="s">
        <v>7</v>
      </c>
      <c r="E41" s="23" t="s">
        <v>47</v>
      </c>
      <c r="F41" s="24" t="s">
        <v>50</v>
      </c>
      <c r="G41" s="24" t="s">
        <v>51</v>
      </c>
      <c r="H41" s="23" t="s">
        <v>24</v>
      </c>
      <c r="I41" s="23" t="s">
        <v>45</v>
      </c>
      <c r="J41" s="24" t="s">
        <v>53</v>
      </c>
      <c r="K41" s="24" t="s">
        <v>8</v>
      </c>
    </row>
    <row r="42" spans="1:18" x14ac:dyDescent="0.75">
      <c r="B42" s="37">
        <v>100</v>
      </c>
      <c r="C42" s="44">
        <f>H24</f>
        <v>7500</v>
      </c>
      <c r="D42" s="38">
        <v>25</v>
      </c>
      <c r="E42" s="39">
        <v>1.25</v>
      </c>
      <c r="F42" s="40">
        <f>E42*D42</f>
        <v>31.25</v>
      </c>
      <c r="G42" s="41">
        <f>F42*B42</f>
        <v>3125</v>
      </c>
      <c r="H42" s="39">
        <v>2.33</v>
      </c>
      <c r="I42" s="42">
        <f>H42*B42</f>
        <v>233</v>
      </c>
      <c r="J42" s="39">
        <f>SUM(F42+H42+F24)</f>
        <v>108.58</v>
      </c>
      <c r="K42" s="39">
        <f>SUM(J42*B42)+C42</f>
        <v>18358</v>
      </c>
    </row>
    <row r="43" spans="1:18" x14ac:dyDescent="0.75">
      <c r="B43" s="1"/>
      <c r="C43" s="22"/>
      <c r="E43" s="5"/>
      <c r="F43" s="36"/>
      <c r="G43" s="16"/>
      <c r="H43" s="5"/>
      <c r="I43" s="43"/>
      <c r="J43" s="5"/>
      <c r="K43" s="5"/>
      <c r="R43" s="1"/>
    </row>
    <row r="44" spans="1:18" x14ac:dyDescent="0.75">
      <c r="B44" s="1"/>
      <c r="C44" s="22"/>
      <c r="E44" s="5"/>
      <c r="F44" s="36"/>
      <c r="G44" s="16"/>
      <c r="H44" s="5"/>
      <c r="I44" s="43"/>
      <c r="J44" s="5"/>
      <c r="K44" s="5"/>
      <c r="R44" s="1"/>
    </row>
    <row r="45" spans="1:18" x14ac:dyDescent="0.75">
      <c r="B45" s="159" t="s">
        <v>10</v>
      </c>
      <c r="C45" s="159"/>
      <c r="D45" s="159"/>
      <c r="E45" s="159"/>
      <c r="F45" s="159"/>
      <c r="G45" s="159"/>
      <c r="H45" s="159"/>
      <c r="I45" s="159"/>
      <c r="J45" s="159"/>
      <c r="K45" s="159"/>
    </row>
    <row r="46" spans="1:18" x14ac:dyDescent="0.75">
      <c r="B46" t="s">
        <v>55</v>
      </c>
      <c r="I46" s="5"/>
    </row>
    <row r="47" spans="1:18" ht="59" x14ac:dyDescent="0.75">
      <c r="B47" s="24" t="s">
        <v>6</v>
      </c>
      <c r="C47" s="23" t="s">
        <v>58</v>
      </c>
      <c r="D47" s="24" t="s">
        <v>56</v>
      </c>
      <c r="E47" s="24" t="s">
        <v>64</v>
      </c>
      <c r="F47" s="24" t="s">
        <v>59</v>
      </c>
      <c r="G47" s="24" t="s">
        <v>60</v>
      </c>
      <c r="H47" s="24" t="s">
        <v>24</v>
      </c>
      <c r="I47" s="24" t="s">
        <v>45</v>
      </c>
      <c r="J47" s="24" t="s">
        <v>61</v>
      </c>
      <c r="K47" s="24" t="s">
        <v>62</v>
      </c>
    </row>
    <row r="48" spans="1:18" x14ac:dyDescent="0.75">
      <c r="A48" s="47" t="s">
        <v>66</v>
      </c>
      <c r="B48" s="45">
        <v>100</v>
      </c>
      <c r="C48" s="5">
        <f>C42+G42</f>
        <v>10625</v>
      </c>
      <c r="D48" s="46">
        <f>H26</f>
        <v>2500</v>
      </c>
      <c r="E48" s="45">
        <v>4</v>
      </c>
      <c r="F48" s="46">
        <f>F17</f>
        <v>15</v>
      </c>
      <c r="G48" s="45">
        <f>SUM(F48*E48)*B48</f>
        <v>6000</v>
      </c>
      <c r="H48" s="46">
        <f>H42</f>
        <v>2.33</v>
      </c>
      <c r="I48" s="46">
        <f>H48*B48</f>
        <v>233</v>
      </c>
      <c r="J48" s="46">
        <f>SUM(H48+F42+F24+F26)</f>
        <v>133.57999999999998</v>
      </c>
      <c r="K48" s="46">
        <f>J48*B48</f>
        <v>13357.999999999998</v>
      </c>
      <c r="R48" s="48"/>
    </row>
    <row r="49" spans="1:29" x14ac:dyDescent="0.75">
      <c r="A49" s="48" t="s">
        <v>67</v>
      </c>
      <c r="B49">
        <v>100</v>
      </c>
      <c r="C49" s="5">
        <v>10625</v>
      </c>
      <c r="D49" s="5">
        <f>H26</f>
        <v>2500</v>
      </c>
      <c r="E49">
        <v>4</v>
      </c>
      <c r="F49" s="5">
        <f>F18</f>
        <v>15</v>
      </c>
      <c r="G49">
        <f>SUM(F49*E49)*B49</f>
        <v>6000</v>
      </c>
      <c r="H49" s="5">
        <f>H42</f>
        <v>2.33</v>
      </c>
      <c r="I49" s="5">
        <f>H49*B49</f>
        <v>233</v>
      </c>
      <c r="J49" s="5">
        <f>SUM(H49+F42+F26+F24)</f>
        <v>133.57999999999998</v>
      </c>
      <c r="K49" s="5">
        <f>J49*B49</f>
        <v>13357.999999999998</v>
      </c>
      <c r="R49" s="48"/>
    </row>
    <row r="50" spans="1:29" ht="15.5" thickBot="1" x14ac:dyDescent="0.9">
      <c r="A50" t="s">
        <v>33</v>
      </c>
      <c r="B50" s="49"/>
      <c r="C50" s="50">
        <f>C48+C49</f>
        <v>21250</v>
      </c>
      <c r="D50" s="50">
        <f>D48+D49</f>
        <v>5000</v>
      </c>
      <c r="E50" s="50">
        <f t="shared" ref="E50:K50" si="1">E48+E49</f>
        <v>8</v>
      </c>
      <c r="F50" s="50">
        <f t="shared" si="1"/>
        <v>30</v>
      </c>
      <c r="G50" s="50">
        <f t="shared" si="1"/>
        <v>12000</v>
      </c>
      <c r="H50" s="50">
        <f t="shared" si="1"/>
        <v>4.66</v>
      </c>
      <c r="I50" s="50">
        <f t="shared" si="1"/>
        <v>466</v>
      </c>
      <c r="J50" s="50">
        <f t="shared" si="1"/>
        <v>267.15999999999997</v>
      </c>
      <c r="K50" s="147">
        <f t="shared" si="1"/>
        <v>26715.999999999996</v>
      </c>
    </row>
    <row r="51" spans="1:29" ht="15.5" thickTop="1" x14ac:dyDescent="0.75">
      <c r="I51" s="5"/>
    </row>
    <row r="52" spans="1:29" x14ac:dyDescent="0.75">
      <c r="I52" s="5"/>
      <c r="Z52" s="5"/>
    </row>
    <row r="53" spans="1:29" x14ac:dyDescent="0.75">
      <c r="B53" s="157" t="s">
        <v>68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</row>
    <row r="54" spans="1:29" ht="59" x14ac:dyDescent="0.75">
      <c r="B54" s="24" t="s">
        <v>6</v>
      </c>
      <c r="C54" s="24" t="s">
        <v>75</v>
      </c>
      <c r="D54" s="24" t="s">
        <v>74</v>
      </c>
      <c r="E54" s="24" t="s">
        <v>73</v>
      </c>
      <c r="F54" s="24" t="s">
        <v>72</v>
      </c>
      <c r="G54" s="24" t="s">
        <v>76</v>
      </c>
      <c r="H54" s="24" t="s">
        <v>71</v>
      </c>
      <c r="I54" s="24" t="s">
        <v>69</v>
      </c>
      <c r="J54" s="24" t="s">
        <v>70</v>
      </c>
      <c r="K54" s="24" t="s">
        <v>78</v>
      </c>
      <c r="L54" s="24" t="s">
        <v>77</v>
      </c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5.5" thickBot="1" x14ac:dyDescent="0.9">
      <c r="B55" s="49">
        <v>100</v>
      </c>
      <c r="C55" s="50">
        <f>H13</f>
        <v>12000</v>
      </c>
      <c r="D55" s="50">
        <f>H25</f>
        <v>6500</v>
      </c>
      <c r="E55" s="50">
        <f>C48</f>
        <v>10625</v>
      </c>
      <c r="F55" s="50">
        <f>I48</f>
        <v>233</v>
      </c>
      <c r="G55" s="49">
        <v>2.33</v>
      </c>
      <c r="H55" s="53">
        <v>2</v>
      </c>
      <c r="I55" s="49">
        <f>H55*G55</f>
        <v>4.66</v>
      </c>
      <c r="J55" s="49">
        <f>I55*B55</f>
        <v>466</v>
      </c>
      <c r="K55" s="49">
        <f>L55/100</f>
        <v>298.24</v>
      </c>
      <c r="L55" s="50">
        <f>J55+F55+E55+D55+C55</f>
        <v>29824</v>
      </c>
      <c r="T55" s="5"/>
      <c r="U55" s="5"/>
      <c r="V55" s="5"/>
      <c r="W55" s="5"/>
      <c r="Y55" s="1"/>
      <c r="AC55" s="5"/>
    </row>
    <row r="56" spans="1:29" ht="15.5" thickTop="1" x14ac:dyDescent="0.75">
      <c r="I56" s="5"/>
    </row>
    <row r="57" spans="1:29" x14ac:dyDescent="0.75">
      <c r="I57" s="5"/>
    </row>
    <row r="58" spans="1:29" x14ac:dyDescent="0.75">
      <c r="B58" s="159" t="s">
        <v>80</v>
      </c>
      <c r="C58" s="159"/>
      <c r="D58" s="159"/>
      <c r="E58" s="159"/>
      <c r="F58" s="159"/>
      <c r="G58" s="3"/>
      <c r="H58" s="3"/>
      <c r="I58" s="3"/>
      <c r="J58" s="3"/>
      <c r="K58" s="3"/>
    </row>
    <row r="59" spans="1:29" ht="44.25" x14ac:dyDescent="0.75">
      <c r="B59" s="24" t="s">
        <v>6</v>
      </c>
      <c r="C59" s="24" t="s">
        <v>81</v>
      </c>
      <c r="D59" s="24" t="s">
        <v>82</v>
      </c>
      <c r="E59" s="24" t="s">
        <v>87</v>
      </c>
      <c r="F59" s="24" t="s">
        <v>88</v>
      </c>
      <c r="G59" s="51"/>
      <c r="H59" s="51"/>
      <c r="I59" s="51"/>
      <c r="J59" s="51"/>
      <c r="K59" s="51"/>
    </row>
    <row r="60" spans="1:29" ht="15.5" thickBot="1" x14ac:dyDescent="0.9">
      <c r="B60" s="53">
        <v>100</v>
      </c>
      <c r="C60" s="53">
        <v>2</v>
      </c>
      <c r="D60" s="53">
        <v>25</v>
      </c>
      <c r="E60" s="53">
        <f>D60*C60</f>
        <v>50</v>
      </c>
      <c r="F60" s="53">
        <f>E60*B60</f>
        <v>5000</v>
      </c>
      <c r="G60" s="1"/>
      <c r="H60" s="1"/>
      <c r="I60" s="1"/>
      <c r="J60" s="1"/>
      <c r="K60" s="1"/>
    </row>
    <row r="61" spans="1:29" ht="15.5" thickTop="1" x14ac:dyDescent="0.7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29" x14ac:dyDescent="0.7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29" x14ac:dyDescent="0.75">
      <c r="B63" s="159" t="s">
        <v>11</v>
      </c>
      <c r="C63" s="159"/>
      <c r="D63" s="159"/>
      <c r="E63" s="159"/>
      <c r="G63" s="1"/>
      <c r="H63" s="1"/>
      <c r="I63" s="1"/>
      <c r="J63" s="1"/>
      <c r="K63" s="1"/>
    </row>
    <row r="64" spans="1:29" ht="29.5" x14ac:dyDescent="0.75">
      <c r="C64" s="9" t="s">
        <v>12</v>
      </c>
      <c r="D64" s="2" t="s">
        <v>13</v>
      </c>
      <c r="E64" s="2" t="s">
        <v>14</v>
      </c>
      <c r="G64" s="1"/>
      <c r="H64" s="1"/>
      <c r="I64" s="1"/>
      <c r="J64" s="1"/>
      <c r="K64" s="1"/>
    </row>
    <row r="65" spans="1:11" x14ac:dyDescent="0.75">
      <c r="B65" s="6" t="s">
        <v>15</v>
      </c>
      <c r="C65" s="10">
        <f>D60</f>
        <v>25</v>
      </c>
      <c r="D65" s="11">
        <v>20</v>
      </c>
      <c r="E65" s="12">
        <f>SUM(D65*C65)</f>
        <v>500</v>
      </c>
      <c r="G65" s="1"/>
      <c r="H65" s="1"/>
      <c r="I65" s="1"/>
      <c r="J65" s="1"/>
      <c r="K65" s="1"/>
    </row>
    <row r="66" spans="1:11" x14ac:dyDescent="0.75">
      <c r="B66" t="s">
        <v>16</v>
      </c>
      <c r="C66" s="1">
        <f>D60</f>
        <v>25</v>
      </c>
      <c r="D66" s="5">
        <v>15</v>
      </c>
      <c r="E66" s="5">
        <f>SUM(D66*C66)</f>
        <v>375</v>
      </c>
      <c r="G66" s="1"/>
      <c r="H66" s="1"/>
      <c r="I66" s="1"/>
      <c r="J66" s="1"/>
      <c r="K66" s="1"/>
    </row>
    <row r="67" spans="1:11" ht="15.5" thickBot="1" x14ac:dyDescent="0.9">
      <c r="B67" s="49" t="s">
        <v>17</v>
      </c>
      <c r="C67" s="49"/>
      <c r="D67" s="49"/>
      <c r="E67" s="50">
        <f>E65+E66</f>
        <v>875</v>
      </c>
      <c r="G67" s="1"/>
      <c r="H67" s="1"/>
      <c r="I67" s="1"/>
      <c r="J67" s="1"/>
      <c r="K67" s="1"/>
    </row>
    <row r="68" spans="1:11" ht="15.5" thickTop="1" x14ac:dyDescent="0.7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7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75">
      <c r="B70" s="159" t="s">
        <v>18</v>
      </c>
      <c r="C70" s="159"/>
      <c r="D70" s="159"/>
      <c r="F70" s="1"/>
      <c r="G70" s="1"/>
      <c r="H70" s="1"/>
      <c r="I70" s="1"/>
      <c r="J70" s="1"/>
      <c r="K70" s="1"/>
    </row>
    <row r="71" spans="1:11" ht="44.25" x14ac:dyDescent="0.75">
      <c r="B71" s="13" t="s">
        <v>19</v>
      </c>
      <c r="C71" s="13" t="s">
        <v>20</v>
      </c>
      <c r="D71" s="13" t="s">
        <v>98</v>
      </c>
      <c r="F71" s="1"/>
      <c r="G71" s="1"/>
      <c r="H71" s="1"/>
      <c r="I71" s="1"/>
      <c r="J71" s="1"/>
      <c r="K71" s="1"/>
    </row>
    <row r="72" spans="1:11" ht="15.5" thickBot="1" x14ac:dyDescent="0.9">
      <c r="B72" s="50">
        <v>250</v>
      </c>
      <c r="C72" s="53">
        <v>100</v>
      </c>
      <c r="D72" s="49">
        <f>C72*B72</f>
        <v>25000</v>
      </c>
      <c r="F72" s="1"/>
      <c r="G72" s="1"/>
      <c r="H72" s="1"/>
      <c r="I72" s="1"/>
      <c r="J72" s="1"/>
      <c r="K72" s="1"/>
    </row>
    <row r="73" spans="1:11" ht="15.5" thickTop="1" x14ac:dyDescent="0.75">
      <c r="B73" s="1"/>
      <c r="C73" s="1"/>
      <c r="D73" s="1"/>
      <c r="E73" s="1"/>
      <c r="F73" s="1"/>
      <c r="G73" s="1"/>
      <c r="H73" s="1"/>
      <c r="I73" s="1"/>
      <c r="J73" s="1"/>
      <c r="K73" s="1"/>
    </row>
    <row r="75" spans="1:11" x14ac:dyDescent="0.75">
      <c r="A75" s="167" t="s">
        <v>101</v>
      </c>
      <c r="B75" s="167"/>
      <c r="C75" s="167"/>
      <c r="D75" s="167"/>
      <c r="E75" s="167"/>
      <c r="F75" s="167"/>
      <c r="G75" s="167"/>
      <c r="H75" s="167"/>
      <c r="I75" s="167"/>
      <c r="J75" s="167"/>
    </row>
    <row r="76" spans="1:11" x14ac:dyDescent="0.75">
      <c r="A76" s="35"/>
      <c r="B76" s="35"/>
      <c r="C76" s="35"/>
      <c r="D76" s="35"/>
      <c r="E76" s="35"/>
      <c r="F76" s="35"/>
      <c r="G76" s="35"/>
      <c r="H76" s="35"/>
      <c r="I76" s="35"/>
      <c r="J76" s="35"/>
    </row>
    <row r="77" spans="1:11" ht="59" x14ac:dyDescent="0.75">
      <c r="A77" s="35"/>
      <c r="B77" s="24" t="s">
        <v>6</v>
      </c>
      <c r="C77" s="51" t="s">
        <v>89</v>
      </c>
      <c r="D77" s="51" t="s">
        <v>90</v>
      </c>
      <c r="E77" s="24" t="s">
        <v>91</v>
      </c>
      <c r="F77" s="24" t="s">
        <v>93</v>
      </c>
      <c r="G77" s="24" t="s">
        <v>94</v>
      </c>
      <c r="H77" s="24" t="s">
        <v>92</v>
      </c>
      <c r="I77" s="24" t="s">
        <v>95</v>
      </c>
      <c r="J77" s="35"/>
    </row>
    <row r="78" spans="1:11" x14ac:dyDescent="0.75">
      <c r="A78" t="s">
        <v>129</v>
      </c>
      <c r="B78" s="1">
        <f>H5</f>
        <v>100</v>
      </c>
      <c r="C78" s="1">
        <f>35*500</f>
        <v>17500</v>
      </c>
      <c r="D78" s="1">
        <f>C78/1000</f>
        <v>17.5</v>
      </c>
      <c r="E78" s="1">
        <f>D78*B78</f>
        <v>1750</v>
      </c>
      <c r="F78" s="5">
        <f>'Production purchased machines'!F87</f>
        <v>5.7142857142857141E-2</v>
      </c>
      <c r="G78" s="5">
        <f>SUM(1000*F78)</f>
        <v>57.142857142857139</v>
      </c>
      <c r="H78" s="5">
        <f>G78*D78</f>
        <v>999.99999999999989</v>
      </c>
      <c r="I78">
        <f>H78*B78</f>
        <v>99999.999999999985</v>
      </c>
      <c r="J78" s="35"/>
    </row>
    <row r="79" spans="1:11" ht="15.5" thickBot="1" x14ac:dyDescent="0.9">
      <c r="A79" t="s">
        <v>131</v>
      </c>
      <c r="B79" s="31">
        <f>H5</f>
        <v>100</v>
      </c>
      <c r="C79" s="31">
        <v>2000</v>
      </c>
      <c r="D79" s="31">
        <f>H7</f>
        <v>20</v>
      </c>
      <c r="E79" s="31">
        <f>B79*D79</f>
        <v>2000</v>
      </c>
      <c r="F79" s="7">
        <f>H9/1000</f>
        <v>0.107</v>
      </c>
      <c r="G79" s="34">
        <f>H9</f>
        <v>107</v>
      </c>
      <c r="H79" s="34">
        <f>D79*G79</f>
        <v>2140</v>
      </c>
      <c r="I79" s="54">
        <f>H79*B79</f>
        <v>214000</v>
      </c>
      <c r="J79" s="35"/>
    </row>
    <row r="80" spans="1:11" ht="15.5" thickTop="1" x14ac:dyDescent="0.75">
      <c r="A80" s="35"/>
      <c r="B80" s="35"/>
      <c r="C80" s="35"/>
      <c r="D80" s="35"/>
      <c r="E80" s="35"/>
      <c r="F80" s="35"/>
      <c r="G80" s="35"/>
      <c r="H80" s="35"/>
      <c r="I80" s="35"/>
      <c r="J80" s="35"/>
    </row>
    <row r="93" spans="1:1" x14ac:dyDescent="0.75">
      <c r="A93" s="14" t="s">
        <v>21</v>
      </c>
    </row>
    <row r="94" spans="1:1" x14ac:dyDescent="0.75">
      <c r="A94" t="s">
        <v>22</v>
      </c>
    </row>
    <row r="95" spans="1:1" x14ac:dyDescent="0.75">
      <c r="A95" t="s">
        <v>23</v>
      </c>
    </row>
  </sheetData>
  <mergeCells count="26">
    <mergeCell ref="A75:J75"/>
    <mergeCell ref="A4:J4"/>
    <mergeCell ref="B14:D14"/>
    <mergeCell ref="B13:D13"/>
    <mergeCell ref="B23:D23"/>
    <mergeCell ref="B24:D24"/>
    <mergeCell ref="B27:D27"/>
    <mergeCell ref="B28:D28"/>
    <mergeCell ref="B25:D25"/>
    <mergeCell ref="B70:D70"/>
    <mergeCell ref="B63:E63"/>
    <mergeCell ref="S53:AC53"/>
    <mergeCell ref="B53:L53"/>
    <mergeCell ref="A1:J1"/>
    <mergeCell ref="B58:F58"/>
    <mergeCell ref="N22:P22"/>
    <mergeCell ref="B36:K36"/>
    <mergeCell ref="B40:K40"/>
    <mergeCell ref="B32:K32"/>
    <mergeCell ref="B45:K45"/>
    <mergeCell ref="B26:D26"/>
    <mergeCell ref="A22:B22"/>
    <mergeCell ref="B16:D16"/>
    <mergeCell ref="B17:D17"/>
    <mergeCell ref="B18:D18"/>
    <mergeCell ref="A11:J1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3515-4CEC-4DF9-BCC9-FC7638CCE1DE}">
  <dimension ref="A1:Q33"/>
  <sheetViews>
    <sheetView topLeftCell="A19" workbookViewId="0">
      <selection activeCell="E23" sqref="E23"/>
    </sheetView>
  </sheetViews>
  <sheetFormatPr defaultRowHeight="14.75" x14ac:dyDescent="0.75"/>
  <cols>
    <col min="1" max="1" width="8.7265625" style="75"/>
    <col min="2" max="2" width="19.1796875" style="75" bestFit="1" customWidth="1"/>
    <col min="3" max="5" width="8.7265625" style="75"/>
    <col min="6" max="6" width="10.36328125" style="75" bestFit="1" customWidth="1"/>
    <col min="7" max="16384" width="8.7265625" style="75"/>
  </cols>
  <sheetData>
    <row r="1" spans="1:17" x14ac:dyDescent="0.75">
      <c r="A1" s="173" t="s">
        <v>186</v>
      </c>
      <c r="B1" s="173"/>
      <c r="C1" s="173"/>
      <c r="D1" s="173"/>
      <c r="E1" s="173"/>
      <c r="F1" s="173"/>
      <c r="G1" s="173"/>
      <c r="H1" s="173"/>
      <c r="I1" s="173"/>
    </row>
    <row r="3" spans="1:17" x14ac:dyDescent="0.75">
      <c r="A3" s="76"/>
      <c r="B3" s="77"/>
      <c r="C3" s="77"/>
    </row>
    <row r="5" spans="1:17" x14ac:dyDescent="0.75">
      <c r="A5" s="75" t="s">
        <v>185</v>
      </c>
    </row>
    <row r="6" spans="1:17" x14ac:dyDescent="0.75">
      <c r="A6" s="78" t="s">
        <v>184</v>
      </c>
    </row>
    <row r="7" spans="1:17" x14ac:dyDescent="0.75">
      <c r="A7" s="75">
        <v>3</v>
      </c>
    </row>
    <row r="10" spans="1:17" ht="24.5" x14ac:dyDescent="0.75">
      <c r="A10" s="52">
        <v>1</v>
      </c>
      <c r="B10" s="79" t="s">
        <v>146</v>
      </c>
      <c r="C10" s="79" t="s">
        <v>147</v>
      </c>
      <c r="D10" s="80" t="s">
        <v>148</v>
      </c>
      <c r="E10" s="80" t="s">
        <v>149</v>
      </c>
      <c r="F10" s="80" t="s">
        <v>150</v>
      </c>
      <c r="G10" s="80" t="s">
        <v>151</v>
      </c>
      <c r="H10" s="80" t="s">
        <v>152</v>
      </c>
      <c r="I10" s="80" t="s">
        <v>153</v>
      </c>
      <c r="J10" s="80" t="s">
        <v>154</v>
      </c>
      <c r="K10" s="80" t="s">
        <v>155</v>
      </c>
      <c r="L10" s="80" t="s">
        <v>156</v>
      </c>
      <c r="M10" s="80" t="s">
        <v>157</v>
      </c>
      <c r="N10" s="80" t="s">
        <v>158</v>
      </c>
      <c r="O10" s="80" t="s">
        <v>159</v>
      </c>
      <c r="P10" s="80" t="s">
        <v>160</v>
      </c>
      <c r="Q10" s="79" t="s">
        <v>161</v>
      </c>
    </row>
    <row r="11" spans="1:17" x14ac:dyDescent="0.75">
      <c r="B11" s="81" t="s">
        <v>162</v>
      </c>
      <c r="C11" s="82">
        <v>2</v>
      </c>
      <c r="D11" s="83">
        <v>300</v>
      </c>
      <c r="E11" s="84">
        <f>D11*C11</f>
        <v>600</v>
      </c>
      <c r="F11" s="84">
        <v>600</v>
      </c>
      <c r="G11" s="84">
        <v>600</v>
      </c>
      <c r="H11" s="84">
        <v>600</v>
      </c>
      <c r="I11" s="84">
        <v>600</v>
      </c>
      <c r="J11" s="84">
        <v>600</v>
      </c>
      <c r="K11" s="84">
        <v>600</v>
      </c>
      <c r="L11" s="84">
        <v>600</v>
      </c>
      <c r="M11" s="84">
        <v>600</v>
      </c>
      <c r="N11" s="84">
        <v>600</v>
      </c>
      <c r="O11" s="84">
        <v>600</v>
      </c>
      <c r="P11" s="84">
        <v>600</v>
      </c>
      <c r="Q11" s="85">
        <f t="shared" ref="Q11:Q16" si="0">SUM(D11:P11)</f>
        <v>7500</v>
      </c>
    </row>
    <row r="12" spans="1:17" s="100" customFormat="1" x14ac:dyDescent="0.75">
      <c r="B12" s="101" t="s">
        <v>163</v>
      </c>
      <c r="C12" s="102">
        <v>1</v>
      </c>
      <c r="D12" s="103">
        <v>200</v>
      </c>
      <c r="E12" s="104">
        <v>200</v>
      </c>
      <c r="F12" s="104">
        <v>200</v>
      </c>
      <c r="G12" s="104">
        <v>200</v>
      </c>
      <c r="H12" s="104">
        <v>200</v>
      </c>
      <c r="I12" s="104">
        <v>200</v>
      </c>
      <c r="J12" s="104">
        <v>200</v>
      </c>
      <c r="K12" s="104">
        <v>200</v>
      </c>
      <c r="L12" s="104">
        <v>200</v>
      </c>
      <c r="M12" s="104">
        <v>200</v>
      </c>
      <c r="N12" s="104">
        <v>200</v>
      </c>
      <c r="O12" s="104">
        <v>200</v>
      </c>
      <c r="P12" s="104">
        <v>200</v>
      </c>
      <c r="Q12" s="105">
        <f t="shared" si="0"/>
        <v>2600</v>
      </c>
    </row>
    <row r="13" spans="1:17" x14ac:dyDescent="0.75">
      <c r="B13" s="81" t="s">
        <v>164</v>
      </c>
      <c r="C13" s="82">
        <v>1</v>
      </c>
      <c r="D13" s="83">
        <v>150</v>
      </c>
      <c r="E13" s="84">
        <v>150</v>
      </c>
      <c r="F13" s="84">
        <v>150</v>
      </c>
      <c r="G13" s="84">
        <v>150</v>
      </c>
      <c r="H13" s="84">
        <v>150</v>
      </c>
      <c r="I13" s="84">
        <v>150</v>
      </c>
      <c r="J13" s="84">
        <v>150</v>
      </c>
      <c r="K13" s="84">
        <v>150</v>
      </c>
      <c r="L13" s="84">
        <v>150</v>
      </c>
      <c r="M13" s="84">
        <v>150</v>
      </c>
      <c r="N13" s="84">
        <v>150</v>
      </c>
      <c r="O13" s="84">
        <v>150</v>
      </c>
      <c r="P13" s="84">
        <v>150</v>
      </c>
      <c r="Q13" s="85">
        <f>SUM(D13:P13)</f>
        <v>1950</v>
      </c>
    </row>
    <row r="14" spans="1:17" s="100" customFormat="1" x14ac:dyDescent="0.75">
      <c r="B14" s="101" t="s">
        <v>165</v>
      </c>
      <c r="C14" s="102">
        <v>1</v>
      </c>
      <c r="D14" s="103">
        <v>150</v>
      </c>
      <c r="E14" s="104">
        <f>D14*C14</f>
        <v>150</v>
      </c>
      <c r="F14" s="104">
        <v>150</v>
      </c>
      <c r="G14" s="104">
        <v>150</v>
      </c>
      <c r="H14" s="104">
        <v>150</v>
      </c>
      <c r="I14" s="104">
        <v>150</v>
      </c>
      <c r="J14" s="104">
        <v>150</v>
      </c>
      <c r="K14" s="104">
        <v>150</v>
      </c>
      <c r="L14" s="104">
        <v>150</v>
      </c>
      <c r="M14" s="104">
        <v>150</v>
      </c>
      <c r="N14" s="104">
        <v>150</v>
      </c>
      <c r="O14" s="104">
        <v>150</v>
      </c>
      <c r="P14" s="104">
        <v>150</v>
      </c>
      <c r="Q14" s="105">
        <f>SUM(E14:P14)</f>
        <v>1800</v>
      </c>
    </row>
    <row r="15" spans="1:17" x14ac:dyDescent="0.75">
      <c r="B15" s="81" t="s">
        <v>166</v>
      </c>
      <c r="C15" s="82">
        <v>3</v>
      </c>
      <c r="D15" s="83">
        <v>150</v>
      </c>
      <c r="E15" s="84">
        <f>D15*C15</f>
        <v>450</v>
      </c>
      <c r="F15" s="84">
        <v>450</v>
      </c>
      <c r="G15" s="84">
        <v>450</v>
      </c>
      <c r="H15" s="84">
        <v>450</v>
      </c>
      <c r="I15" s="84">
        <v>450</v>
      </c>
      <c r="J15" s="84">
        <v>450</v>
      </c>
      <c r="K15" s="84">
        <v>450</v>
      </c>
      <c r="L15" s="84">
        <v>450</v>
      </c>
      <c r="M15" s="84">
        <v>450</v>
      </c>
      <c r="N15" s="84">
        <v>450</v>
      </c>
      <c r="O15" s="84">
        <v>450</v>
      </c>
      <c r="P15" s="84">
        <v>450</v>
      </c>
      <c r="Q15" s="85">
        <f>SUM(D15:P15)</f>
        <v>5550</v>
      </c>
    </row>
    <row r="16" spans="1:17" x14ac:dyDescent="0.75">
      <c r="B16" s="81" t="s">
        <v>167</v>
      </c>
      <c r="C16" s="82">
        <v>2</v>
      </c>
      <c r="D16" s="83">
        <v>100</v>
      </c>
      <c r="E16" s="84">
        <f>D16*C16</f>
        <v>200</v>
      </c>
      <c r="F16" s="84">
        <v>200</v>
      </c>
      <c r="G16" s="84">
        <v>200</v>
      </c>
      <c r="H16" s="84">
        <v>200</v>
      </c>
      <c r="I16" s="84">
        <v>200</v>
      </c>
      <c r="J16" s="84">
        <v>200</v>
      </c>
      <c r="K16" s="84">
        <v>200</v>
      </c>
      <c r="L16" s="84">
        <v>200</v>
      </c>
      <c r="M16" s="84">
        <v>200</v>
      </c>
      <c r="N16" s="84">
        <v>200</v>
      </c>
      <c r="O16" s="84">
        <v>200</v>
      </c>
      <c r="P16" s="84">
        <v>200</v>
      </c>
      <c r="Q16" s="85">
        <f t="shared" si="0"/>
        <v>2500</v>
      </c>
    </row>
    <row r="17" spans="1:17" ht="15.5" thickBot="1" x14ac:dyDescent="0.9">
      <c r="A17" s="86" t="s">
        <v>33</v>
      </c>
      <c r="B17" s="86"/>
      <c r="C17" s="86">
        <f t="shared" ref="C17:Q17" si="1">SUM(C11:C16)</f>
        <v>10</v>
      </c>
      <c r="D17" s="86">
        <f t="shared" si="1"/>
        <v>1050</v>
      </c>
      <c r="E17" s="86">
        <f t="shared" si="1"/>
        <v>1750</v>
      </c>
      <c r="F17" s="86">
        <f t="shared" si="1"/>
        <v>1750</v>
      </c>
      <c r="G17" s="86">
        <f t="shared" si="1"/>
        <v>1750</v>
      </c>
      <c r="H17" s="86">
        <f t="shared" si="1"/>
        <v>1750</v>
      </c>
      <c r="I17" s="86">
        <f t="shared" si="1"/>
        <v>1750</v>
      </c>
      <c r="J17" s="86">
        <f t="shared" si="1"/>
        <v>1750</v>
      </c>
      <c r="K17" s="86">
        <f t="shared" si="1"/>
        <v>1750</v>
      </c>
      <c r="L17" s="86">
        <f t="shared" si="1"/>
        <v>1750</v>
      </c>
      <c r="M17" s="86">
        <f t="shared" si="1"/>
        <v>1750</v>
      </c>
      <c r="N17" s="86">
        <f t="shared" si="1"/>
        <v>1750</v>
      </c>
      <c r="O17" s="86">
        <f t="shared" si="1"/>
        <v>1750</v>
      </c>
      <c r="P17" s="86">
        <f t="shared" si="1"/>
        <v>1750</v>
      </c>
      <c r="Q17" s="86">
        <f t="shared" si="1"/>
        <v>21900</v>
      </c>
    </row>
    <row r="18" spans="1:17" ht="15.5" thickTop="1" x14ac:dyDescent="0.75"/>
    <row r="19" spans="1:17" ht="44.25" x14ac:dyDescent="0.75">
      <c r="B19" s="87" t="s">
        <v>168</v>
      </c>
      <c r="C19" s="87" t="s">
        <v>169</v>
      </c>
      <c r="D19" s="87"/>
      <c r="E19" s="88" t="s">
        <v>149</v>
      </c>
      <c r="F19" s="88" t="s">
        <v>150</v>
      </c>
      <c r="G19" s="88" t="s">
        <v>151</v>
      </c>
      <c r="H19" s="88" t="s">
        <v>152</v>
      </c>
      <c r="I19" s="88" t="s">
        <v>153</v>
      </c>
      <c r="J19" s="88" t="s">
        <v>154</v>
      </c>
      <c r="K19" s="88" t="s">
        <v>155</v>
      </c>
      <c r="L19" s="88" t="s">
        <v>156</v>
      </c>
      <c r="M19" s="88" t="s">
        <v>157</v>
      </c>
      <c r="N19" s="88" t="s">
        <v>158</v>
      </c>
      <c r="O19" s="88" t="s">
        <v>159</v>
      </c>
      <c r="P19" s="88" t="s">
        <v>160</v>
      </c>
      <c r="Q19" s="89" t="s">
        <v>170</v>
      </c>
    </row>
    <row r="20" spans="1:17" x14ac:dyDescent="0.75">
      <c r="A20" s="90"/>
      <c r="B20" s="91" t="s">
        <v>171</v>
      </c>
      <c r="C20" s="92">
        <v>8.5000000000000006E-2</v>
      </c>
      <c r="E20" s="75">
        <f>+E17*C20</f>
        <v>148.75</v>
      </c>
      <c r="F20" s="75">
        <v>1003.0000000000001</v>
      </c>
      <c r="G20" s="75">
        <v>1003.0000000000001</v>
      </c>
      <c r="H20" s="75">
        <v>1003.0000000000001</v>
      </c>
      <c r="I20" s="75">
        <v>1003.0000000000001</v>
      </c>
      <c r="J20" s="75">
        <v>1003.0000000000001</v>
      </c>
      <c r="K20" s="75">
        <v>1003.0000000000001</v>
      </c>
      <c r="L20" s="75">
        <v>1003.0000000000001</v>
      </c>
      <c r="M20" s="75">
        <v>1003.0000000000001</v>
      </c>
      <c r="N20" s="75">
        <v>1003.0000000000001</v>
      </c>
      <c r="O20" s="75">
        <v>1003.0000000000001</v>
      </c>
      <c r="P20" s="75">
        <v>1003.0000000000001</v>
      </c>
      <c r="Q20" s="75">
        <f>SUM(E20:P20)</f>
        <v>11181.75</v>
      </c>
    </row>
    <row r="21" spans="1:17" x14ac:dyDescent="0.75">
      <c r="B21" s="93" t="s">
        <v>172</v>
      </c>
      <c r="C21" s="92">
        <v>0.02</v>
      </c>
      <c r="E21" s="75">
        <f>+E17*C21</f>
        <v>35</v>
      </c>
      <c r="F21" s="75">
        <v>236</v>
      </c>
      <c r="G21" s="75">
        <v>236</v>
      </c>
      <c r="H21" s="75">
        <v>236</v>
      </c>
      <c r="I21" s="75">
        <v>236</v>
      </c>
      <c r="J21" s="75">
        <v>236</v>
      </c>
      <c r="K21" s="75">
        <v>236</v>
      </c>
      <c r="L21" s="75">
        <v>236</v>
      </c>
      <c r="M21" s="75">
        <v>236</v>
      </c>
      <c r="N21" s="75">
        <v>236</v>
      </c>
      <c r="O21" s="75">
        <v>236</v>
      </c>
      <c r="P21" s="75">
        <v>236</v>
      </c>
      <c r="Q21" s="75">
        <f t="shared" ref="Q21:Q23" si="2">SUM(E21:P21)</f>
        <v>2631</v>
      </c>
    </row>
    <row r="22" spans="1:17" x14ac:dyDescent="0.75">
      <c r="B22" s="93" t="s">
        <v>173</v>
      </c>
      <c r="C22" s="92">
        <v>2E-3</v>
      </c>
      <c r="E22" s="75">
        <f>+E17*C22</f>
        <v>3.5</v>
      </c>
      <c r="F22" s="75">
        <v>23.6</v>
      </c>
      <c r="G22" s="75">
        <v>23.6</v>
      </c>
      <c r="H22" s="75">
        <v>23.6</v>
      </c>
      <c r="I22" s="75">
        <v>23.6</v>
      </c>
      <c r="J22" s="75">
        <v>23.6</v>
      </c>
      <c r="K22" s="75">
        <v>23.6</v>
      </c>
      <c r="L22" s="75">
        <v>23.6</v>
      </c>
      <c r="M22" s="75">
        <v>23.6</v>
      </c>
      <c r="N22" s="75">
        <v>23.6</v>
      </c>
      <c r="O22" s="75">
        <v>23.6</v>
      </c>
      <c r="P22" s="75">
        <v>23.6</v>
      </c>
      <c r="Q22" s="75">
        <f t="shared" si="2"/>
        <v>263.09999999999997</v>
      </c>
    </row>
    <row r="23" spans="1:17" x14ac:dyDescent="0.75">
      <c r="B23" s="93" t="s">
        <v>174</v>
      </c>
      <c r="C23" s="92">
        <v>0.3</v>
      </c>
      <c r="E23" s="75">
        <f>+E17*C23</f>
        <v>525</v>
      </c>
      <c r="F23" s="75">
        <v>3540</v>
      </c>
      <c r="G23" s="75">
        <v>3540</v>
      </c>
      <c r="H23" s="75">
        <v>3540</v>
      </c>
      <c r="I23" s="75">
        <v>3540</v>
      </c>
      <c r="J23" s="75">
        <v>3540</v>
      </c>
      <c r="K23" s="75">
        <v>3540</v>
      </c>
      <c r="L23" s="75">
        <v>3540</v>
      </c>
      <c r="M23" s="75">
        <v>3540</v>
      </c>
      <c r="N23" s="75">
        <v>3540</v>
      </c>
      <c r="O23" s="75">
        <v>3540</v>
      </c>
      <c r="P23" s="75">
        <v>3540</v>
      </c>
      <c r="Q23" s="75">
        <f t="shared" si="2"/>
        <v>39465</v>
      </c>
    </row>
    <row r="24" spans="1:17" ht="15.5" thickBot="1" x14ac:dyDescent="0.9">
      <c r="A24" s="90"/>
      <c r="B24" s="86" t="s">
        <v>175</v>
      </c>
      <c r="C24" s="86"/>
      <c r="D24" s="86"/>
      <c r="E24" s="86">
        <f>SUM(E20:E23)</f>
        <v>712.25</v>
      </c>
      <c r="F24" s="86">
        <f t="shared" ref="F24:P24" si="3">SUM(F20:F23)</f>
        <v>4802.6000000000004</v>
      </c>
      <c r="G24" s="86">
        <f t="shared" si="3"/>
        <v>4802.6000000000004</v>
      </c>
      <c r="H24" s="86">
        <f t="shared" si="3"/>
        <v>4802.6000000000004</v>
      </c>
      <c r="I24" s="86">
        <f t="shared" si="3"/>
        <v>4802.6000000000004</v>
      </c>
      <c r="J24" s="86">
        <f t="shared" si="3"/>
        <v>4802.6000000000004</v>
      </c>
      <c r="K24" s="86">
        <f t="shared" si="3"/>
        <v>4802.6000000000004</v>
      </c>
      <c r="L24" s="86">
        <f t="shared" si="3"/>
        <v>4802.6000000000004</v>
      </c>
      <c r="M24" s="86">
        <f t="shared" si="3"/>
        <v>4802.6000000000004</v>
      </c>
      <c r="N24" s="86">
        <f t="shared" si="3"/>
        <v>4802.6000000000004</v>
      </c>
      <c r="O24" s="86">
        <f t="shared" si="3"/>
        <v>4802.6000000000004</v>
      </c>
      <c r="P24" s="86">
        <f t="shared" si="3"/>
        <v>4802.6000000000004</v>
      </c>
      <c r="Q24" s="86">
        <f>SUM(Q20:Q23)</f>
        <v>53540.85</v>
      </c>
    </row>
    <row r="25" spans="1:17" ht="15.5" thickTop="1" x14ac:dyDescent="0.75"/>
    <row r="26" spans="1:17" ht="59" x14ac:dyDescent="0.75">
      <c r="A26" s="78">
        <v>2</v>
      </c>
      <c r="B26" s="87" t="s">
        <v>176</v>
      </c>
      <c r="C26" s="89" t="s">
        <v>177</v>
      </c>
      <c r="D26" s="89" t="s">
        <v>178</v>
      </c>
      <c r="E26" s="94" t="s">
        <v>179</v>
      </c>
      <c r="F26" s="87" t="s">
        <v>180</v>
      </c>
      <c r="G26" s="89" t="s">
        <v>181</v>
      </c>
      <c r="H26" s="95"/>
    </row>
    <row r="27" spans="1:17" x14ac:dyDescent="0.75">
      <c r="B27" s="75" t="s">
        <v>138</v>
      </c>
      <c r="C27" s="96">
        <v>100</v>
      </c>
      <c r="D27" s="96">
        <v>12</v>
      </c>
      <c r="E27" s="96">
        <v>1</v>
      </c>
      <c r="F27" s="97">
        <v>100</v>
      </c>
      <c r="G27" s="106">
        <f>SUM(F27/D27)*(C27*E27)</f>
        <v>833.33333333333337</v>
      </c>
    </row>
    <row r="28" spans="1:17" x14ac:dyDescent="0.75">
      <c r="B28" s="75" t="s">
        <v>68</v>
      </c>
      <c r="C28" s="96">
        <v>100</v>
      </c>
      <c r="D28" s="96">
        <v>12</v>
      </c>
      <c r="E28" s="96">
        <v>1</v>
      </c>
      <c r="F28" s="97">
        <v>100</v>
      </c>
      <c r="G28" s="106">
        <f>SUM(F28/D28)*(C28*E28)</f>
        <v>833.33333333333337</v>
      </c>
    </row>
    <row r="29" spans="1:17" x14ac:dyDescent="0.75">
      <c r="B29" s="75" t="s">
        <v>140</v>
      </c>
      <c r="C29" s="96">
        <v>100</v>
      </c>
      <c r="D29" s="96">
        <v>12</v>
      </c>
      <c r="E29" s="96">
        <v>3</v>
      </c>
      <c r="F29" s="97">
        <v>100</v>
      </c>
      <c r="G29" s="75">
        <f>SUM(F29/D29)*(C29*E29)</f>
        <v>2500</v>
      </c>
    </row>
    <row r="30" spans="1:17" x14ac:dyDescent="0.75">
      <c r="B30" s="75" t="s">
        <v>79</v>
      </c>
      <c r="C30" s="96">
        <v>100</v>
      </c>
      <c r="D30" s="96">
        <v>12</v>
      </c>
      <c r="E30" s="96">
        <v>1</v>
      </c>
      <c r="F30" s="97">
        <v>100</v>
      </c>
      <c r="G30" s="106">
        <f>SUM(F30/D30)*(C30*E30)</f>
        <v>833.33333333333337</v>
      </c>
    </row>
    <row r="31" spans="1:17" x14ac:dyDescent="0.75">
      <c r="B31" s="75" t="s">
        <v>182</v>
      </c>
      <c r="C31" s="96">
        <v>100</v>
      </c>
      <c r="D31" s="96">
        <v>12</v>
      </c>
      <c r="E31" s="96">
        <v>1</v>
      </c>
      <c r="F31" s="97">
        <v>100</v>
      </c>
      <c r="G31" s="106">
        <f>SUM(F31/D31)*(C31*E31)</f>
        <v>833.33333333333337</v>
      </c>
    </row>
    <row r="32" spans="1:17" ht="15.5" thickBot="1" x14ac:dyDescent="0.9">
      <c r="B32" s="86" t="s">
        <v>183</v>
      </c>
      <c r="C32" s="98"/>
      <c r="D32" s="98"/>
      <c r="E32" s="98"/>
      <c r="F32" s="99"/>
      <c r="G32" s="86">
        <f>SUM(G27:G31)</f>
        <v>5833.333333333333</v>
      </c>
    </row>
    <row r="33" ht="15.5" thickTop="1" x14ac:dyDescent="0.75"/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901-1D9A-4FBB-A2F0-A0EE51B077FF}">
  <dimension ref="A1"/>
  <sheetViews>
    <sheetView workbookViewId="0">
      <selection activeCell="G19" sqref="G19"/>
    </sheetView>
  </sheetViews>
  <sheetFormatPr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87-2B2E-4199-9D6C-E0843DB7C431}">
  <dimension ref="A4:L90"/>
  <sheetViews>
    <sheetView topLeftCell="A94" workbookViewId="0">
      <selection activeCell="N26" sqref="N26"/>
    </sheetView>
  </sheetViews>
  <sheetFormatPr defaultRowHeight="14.75" x14ac:dyDescent="0.75"/>
  <cols>
    <col min="1" max="1" width="26.26953125" bestFit="1" customWidth="1"/>
    <col min="3" max="3" width="13.54296875" customWidth="1"/>
    <col min="4" max="4" width="18" customWidth="1"/>
    <col min="6" max="6" width="9.1796875" bestFit="1" customWidth="1"/>
    <col min="7" max="7" width="9.54296875" customWidth="1"/>
    <col min="8" max="8" width="9.1796875" bestFit="1" customWidth="1"/>
    <col min="9" max="9" width="10.1796875" bestFit="1" customWidth="1"/>
    <col min="11" max="11" width="9.1796875" bestFit="1" customWidth="1"/>
  </cols>
  <sheetData>
    <row r="4" spans="2:11" x14ac:dyDescent="0.75">
      <c r="B4" s="164" t="s">
        <v>99</v>
      </c>
      <c r="C4" s="165"/>
      <c r="D4" s="165"/>
      <c r="E4" s="165"/>
      <c r="F4" s="165"/>
      <c r="G4" s="165"/>
      <c r="H4" s="165"/>
      <c r="I4" s="165"/>
      <c r="J4" s="165"/>
      <c r="K4" s="166"/>
    </row>
    <row r="5" spans="2:11" x14ac:dyDescent="0.75">
      <c r="C5" t="s">
        <v>0</v>
      </c>
      <c r="I5">
        <v>100</v>
      </c>
    </row>
    <row r="6" spans="2:11" x14ac:dyDescent="0.75">
      <c r="C6" t="s">
        <v>1</v>
      </c>
      <c r="I6">
        <v>10000</v>
      </c>
    </row>
    <row r="7" spans="2:11" x14ac:dyDescent="0.75">
      <c r="C7" s="163" t="s">
        <v>127</v>
      </c>
      <c r="D7" s="163"/>
      <c r="E7" s="163"/>
      <c r="F7" s="163"/>
      <c r="G7" s="163"/>
      <c r="I7">
        <v>20</v>
      </c>
    </row>
    <row r="8" spans="2:11" x14ac:dyDescent="0.75">
      <c r="C8" t="s">
        <v>128</v>
      </c>
      <c r="I8">
        <v>50000</v>
      </c>
    </row>
    <row r="9" spans="2:11" x14ac:dyDescent="0.75">
      <c r="C9" t="s">
        <v>3</v>
      </c>
      <c r="I9">
        <f>SUM(I7*I5)</f>
        <v>2000</v>
      </c>
    </row>
    <row r="10" spans="2:11" x14ac:dyDescent="0.75">
      <c r="C10" t="s">
        <v>96</v>
      </c>
      <c r="I10">
        <v>107</v>
      </c>
    </row>
    <row r="11" spans="2:11" x14ac:dyDescent="0.75">
      <c r="C11" t="s">
        <v>97</v>
      </c>
      <c r="I11">
        <v>250</v>
      </c>
    </row>
    <row r="12" spans="2:11" x14ac:dyDescent="0.75">
      <c r="B12" s="164" t="s">
        <v>100</v>
      </c>
      <c r="C12" s="165"/>
      <c r="D12" s="165"/>
      <c r="E12" s="165"/>
      <c r="F12" s="165"/>
      <c r="G12" s="165"/>
      <c r="H12" s="165"/>
      <c r="I12" s="165"/>
      <c r="J12" s="165"/>
      <c r="K12" s="166"/>
    </row>
    <row r="13" spans="2:11" ht="44.25" x14ac:dyDescent="0.75">
      <c r="B13" s="3" t="s">
        <v>21</v>
      </c>
      <c r="C13" s="25"/>
      <c r="D13" s="25"/>
      <c r="E13" s="25"/>
      <c r="F13" s="4" t="s">
        <v>4</v>
      </c>
      <c r="G13" s="26" t="s">
        <v>39</v>
      </c>
      <c r="H13" s="26" t="s">
        <v>29</v>
      </c>
      <c r="I13" s="26" t="s">
        <v>28</v>
      </c>
    </row>
    <row r="14" spans="2:11" x14ac:dyDescent="0.75">
      <c r="C14" s="163" t="s">
        <v>26</v>
      </c>
      <c r="D14" s="163"/>
      <c r="E14" s="163"/>
      <c r="F14" s="1">
        <v>100</v>
      </c>
      <c r="G14" s="15">
        <v>2</v>
      </c>
      <c r="H14" s="16">
        <v>50</v>
      </c>
      <c r="I14" s="15">
        <f>SUM(H14*G14)*F14</f>
        <v>10000</v>
      </c>
    </row>
    <row r="15" spans="2:11" x14ac:dyDescent="0.75">
      <c r="C15" s="163" t="s">
        <v>27</v>
      </c>
      <c r="D15" s="163"/>
      <c r="E15" s="163"/>
      <c r="F15" s="1">
        <v>100</v>
      </c>
      <c r="G15" s="15">
        <v>60</v>
      </c>
      <c r="H15" s="1">
        <v>350</v>
      </c>
      <c r="I15" s="15">
        <f>SUM(H15/50)*(G15*F15)</f>
        <v>42000</v>
      </c>
    </row>
    <row r="16" spans="2:11" x14ac:dyDescent="0.75">
      <c r="C16" t="s">
        <v>30</v>
      </c>
      <c r="F16" s="1">
        <v>100</v>
      </c>
      <c r="G16" s="15">
        <v>55</v>
      </c>
      <c r="H16" s="1">
        <v>350</v>
      </c>
      <c r="I16" s="15">
        <f>SUM(H16/50)*(G16*F16)</f>
        <v>38500</v>
      </c>
    </row>
    <row r="17" spans="2:9" x14ac:dyDescent="0.75">
      <c r="C17" s="163" t="s">
        <v>31</v>
      </c>
      <c r="D17" s="163"/>
      <c r="E17" s="163"/>
      <c r="F17" s="1">
        <v>100</v>
      </c>
      <c r="G17" s="15">
        <v>15</v>
      </c>
      <c r="H17" s="1">
        <v>5</v>
      </c>
      <c r="I17" s="15">
        <f>SUM(H17*G17)*F17</f>
        <v>7500</v>
      </c>
    </row>
    <row r="18" spans="2:9" x14ac:dyDescent="0.75">
      <c r="C18" s="163" t="s">
        <v>32</v>
      </c>
      <c r="D18" s="163"/>
      <c r="E18" s="163"/>
      <c r="F18" s="1">
        <v>100</v>
      </c>
      <c r="G18" s="15">
        <v>15</v>
      </c>
      <c r="H18" s="1">
        <v>4</v>
      </c>
      <c r="I18" s="15">
        <f>SUM(H18*G18)*F18</f>
        <v>6000</v>
      </c>
    </row>
    <row r="19" spans="2:9" x14ac:dyDescent="0.75">
      <c r="C19" s="163" t="s">
        <v>65</v>
      </c>
      <c r="D19" s="163"/>
      <c r="E19" s="163"/>
      <c r="F19" s="1">
        <v>100</v>
      </c>
      <c r="G19" s="15">
        <v>15</v>
      </c>
      <c r="H19" s="1">
        <v>4</v>
      </c>
      <c r="I19" s="15">
        <f>SUM(H19*G19)*F19</f>
        <v>6000</v>
      </c>
    </row>
    <row r="20" spans="2:9" ht="15.5" thickBot="1" x14ac:dyDescent="0.9">
      <c r="C20" s="17" t="s">
        <v>33</v>
      </c>
      <c r="D20" s="17"/>
      <c r="E20" s="17"/>
      <c r="F20" s="18"/>
      <c r="G20" s="19">
        <f>SUM(G14:G19)</f>
        <v>162</v>
      </c>
      <c r="H20" s="20">
        <f>SUM(H14:H19)</f>
        <v>763</v>
      </c>
      <c r="I20" s="21">
        <f>SUM(I14:I19)</f>
        <v>110000</v>
      </c>
    </row>
    <row r="21" spans="2:9" ht="15.5" thickTop="1" x14ac:dyDescent="0.75"/>
    <row r="24" spans="2:9" x14ac:dyDescent="0.75">
      <c r="B24" s="52" t="s">
        <v>102</v>
      </c>
      <c r="C24" s="35"/>
      <c r="D24" s="35"/>
      <c r="E24" s="1"/>
      <c r="F24" s="22"/>
      <c r="G24" s="16"/>
      <c r="H24" s="15"/>
    </row>
    <row r="25" spans="2:9" x14ac:dyDescent="0.75">
      <c r="B25" s="35"/>
      <c r="C25" s="163" t="s">
        <v>38</v>
      </c>
      <c r="D25" s="163"/>
      <c r="E25" s="163"/>
      <c r="F25" s="1">
        <v>100</v>
      </c>
      <c r="G25" s="22">
        <v>20000</v>
      </c>
      <c r="H25" s="16">
        <v>1</v>
      </c>
      <c r="I25" s="15">
        <f>G25*H25</f>
        <v>20000</v>
      </c>
    </row>
    <row r="26" spans="2:9" x14ac:dyDescent="0.75">
      <c r="B26" s="35"/>
      <c r="C26" s="163" t="s">
        <v>84</v>
      </c>
      <c r="D26" s="163"/>
      <c r="E26" s="163"/>
      <c r="F26" s="1">
        <v>100</v>
      </c>
      <c r="G26" s="22">
        <v>17000</v>
      </c>
      <c r="H26" s="16">
        <v>1</v>
      </c>
      <c r="I26" s="15">
        <f>G26*H26</f>
        <v>17000</v>
      </c>
    </row>
    <row r="27" spans="2:9" x14ac:dyDescent="0.75">
      <c r="B27" s="35"/>
      <c r="C27" s="35" t="s">
        <v>103</v>
      </c>
      <c r="D27" s="35"/>
      <c r="E27" s="35"/>
      <c r="F27" s="1">
        <v>100</v>
      </c>
      <c r="G27" s="22">
        <v>5000</v>
      </c>
      <c r="H27" s="16">
        <v>1</v>
      </c>
      <c r="I27" s="15">
        <f>H27*G27</f>
        <v>5000</v>
      </c>
    </row>
    <row r="28" spans="2:9" x14ac:dyDescent="0.75">
      <c r="B28" s="35"/>
      <c r="C28" s="163" t="s">
        <v>85</v>
      </c>
      <c r="D28" s="163"/>
      <c r="E28" s="163"/>
      <c r="F28" s="1">
        <v>100</v>
      </c>
      <c r="G28" s="22">
        <v>64000</v>
      </c>
      <c r="H28" s="16">
        <v>1</v>
      </c>
      <c r="I28" s="15">
        <f>H28*G28</f>
        <v>64000</v>
      </c>
    </row>
    <row r="29" spans="2:9" x14ac:dyDescent="0.75">
      <c r="B29" s="35"/>
      <c r="C29" s="162" t="s">
        <v>86</v>
      </c>
      <c r="D29" s="162"/>
      <c r="E29" s="162"/>
      <c r="F29" s="1">
        <v>100</v>
      </c>
      <c r="G29" s="22">
        <v>350</v>
      </c>
      <c r="H29" s="16">
        <v>1</v>
      </c>
      <c r="I29" s="15">
        <f>G29*H29</f>
        <v>350</v>
      </c>
    </row>
    <row r="30" spans="2:9" ht="15.5" thickBot="1" x14ac:dyDescent="0.9">
      <c r="B30" s="35"/>
      <c r="C30" s="55" t="s">
        <v>17</v>
      </c>
      <c r="D30" s="55"/>
      <c r="E30" s="55"/>
      <c r="F30" s="53"/>
      <c r="G30" s="73">
        <f>G25+G26</f>
        <v>37000</v>
      </c>
      <c r="H30" s="74"/>
      <c r="I30" s="56">
        <f>I25+I26+I28+I29+I27</f>
        <v>106350</v>
      </c>
    </row>
    <row r="31" spans="2:9" ht="15.5" thickTop="1" x14ac:dyDescent="0.75">
      <c r="B31" s="35"/>
      <c r="C31" s="35"/>
      <c r="D31" s="35"/>
      <c r="E31" s="1"/>
      <c r="F31" s="22"/>
      <c r="G31" s="16"/>
      <c r="H31" s="15"/>
    </row>
    <row r="32" spans="2:9" x14ac:dyDescent="0.75">
      <c r="B32" s="35"/>
      <c r="C32" s="35"/>
      <c r="D32" s="35"/>
      <c r="E32" s="1"/>
      <c r="F32" s="22"/>
      <c r="G32" s="16"/>
      <c r="H32" s="15"/>
    </row>
    <row r="33" spans="2:11" x14ac:dyDescent="0.75">
      <c r="E33" s="1"/>
      <c r="F33" s="22"/>
      <c r="G33" s="16"/>
      <c r="H33" s="15"/>
    </row>
    <row r="34" spans="2:11" x14ac:dyDescent="0.75">
      <c r="E34" s="1"/>
      <c r="F34" s="1"/>
      <c r="G34" s="1"/>
    </row>
    <row r="35" spans="2:11" x14ac:dyDescent="0.75">
      <c r="B35" s="161" t="s">
        <v>41</v>
      </c>
      <c r="C35" s="161"/>
      <c r="D35" s="161"/>
      <c r="E35" s="161"/>
      <c r="F35" s="161"/>
      <c r="G35" s="161"/>
      <c r="H35" s="161"/>
      <c r="I35" s="161"/>
      <c r="J35" s="161"/>
      <c r="K35" s="161"/>
    </row>
    <row r="36" spans="2:11" ht="59" x14ac:dyDescent="0.75">
      <c r="B36" s="24" t="s">
        <v>6</v>
      </c>
      <c r="C36" s="24" t="s">
        <v>48</v>
      </c>
      <c r="D36" s="24" t="s">
        <v>7</v>
      </c>
      <c r="E36" s="24" t="s">
        <v>43</v>
      </c>
      <c r="F36" s="24" t="s">
        <v>46</v>
      </c>
      <c r="G36" s="24" t="s">
        <v>44</v>
      </c>
      <c r="H36" s="24" t="s">
        <v>42</v>
      </c>
      <c r="I36" s="24" t="s">
        <v>45</v>
      </c>
      <c r="J36" s="24" t="s">
        <v>25</v>
      </c>
      <c r="K36" s="24" t="s">
        <v>8</v>
      </c>
    </row>
    <row r="37" spans="2:11" x14ac:dyDescent="0.75">
      <c r="B37" s="38">
        <f>I5</f>
        <v>100</v>
      </c>
      <c r="C37" s="39">
        <f>H21</f>
        <v>0</v>
      </c>
      <c r="D37" s="38">
        <v>25</v>
      </c>
      <c r="E37" s="40">
        <v>1.25</v>
      </c>
      <c r="F37" s="38">
        <f>E37*D37</f>
        <v>31.25</v>
      </c>
      <c r="G37" s="39">
        <f>SUM(D37*B37)*E37</f>
        <v>3125</v>
      </c>
      <c r="H37" s="38">
        <v>2.33</v>
      </c>
      <c r="I37" s="39">
        <f>SUM(H37*B37)</f>
        <v>233</v>
      </c>
      <c r="J37" s="39">
        <f>H37+F37</f>
        <v>33.58</v>
      </c>
      <c r="K37" s="39">
        <f>SUM(J37*B37)+C37</f>
        <v>3358</v>
      </c>
    </row>
    <row r="39" spans="2:11" x14ac:dyDescent="0.75">
      <c r="B39" s="161" t="s">
        <v>5</v>
      </c>
      <c r="C39" s="161"/>
      <c r="D39" s="161"/>
      <c r="E39" s="161"/>
      <c r="F39" s="161"/>
      <c r="G39" s="161"/>
      <c r="H39" s="161"/>
      <c r="I39" s="161"/>
      <c r="J39" s="161"/>
      <c r="K39" s="161"/>
    </row>
    <row r="40" spans="2:11" ht="44.25" x14ac:dyDescent="0.75">
      <c r="B40" s="23" t="s">
        <v>6</v>
      </c>
      <c r="C40" s="24" t="s">
        <v>49</v>
      </c>
      <c r="D40" s="23" t="s">
        <v>7</v>
      </c>
      <c r="E40" s="23" t="s">
        <v>47</v>
      </c>
      <c r="F40" s="24" t="s">
        <v>50</v>
      </c>
      <c r="G40" s="24" t="s">
        <v>51</v>
      </c>
      <c r="H40" s="23" t="s">
        <v>24</v>
      </c>
      <c r="I40" s="23" t="s">
        <v>45</v>
      </c>
      <c r="J40" s="24" t="s">
        <v>25</v>
      </c>
      <c r="K40" s="23" t="s">
        <v>8</v>
      </c>
    </row>
    <row r="41" spans="2:11" x14ac:dyDescent="0.75">
      <c r="B41" s="37">
        <f>I5</f>
        <v>100</v>
      </c>
      <c r="C41" s="39">
        <v>0</v>
      </c>
      <c r="D41" s="37">
        <v>25</v>
      </c>
      <c r="E41" s="40">
        <v>1.25</v>
      </c>
      <c r="F41" s="38">
        <f>E41*D41</f>
        <v>31.25</v>
      </c>
      <c r="G41" s="39">
        <f>F41*B41</f>
        <v>3125</v>
      </c>
      <c r="H41" s="44">
        <v>2.33</v>
      </c>
      <c r="I41" s="41">
        <f>H41*B41</f>
        <v>233</v>
      </c>
      <c r="J41" s="39">
        <f>SUM(D41*E41)+H41</f>
        <v>33.58</v>
      </c>
      <c r="K41" s="39">
        <f>SUM(J41*B41)+C41</f>
        <v>3358</v>
      </c>
    </row>
    <row r="42" spans="2:11" x14ac:dyDescent="0.75">
      <c r="B42" s="1"/>
      <c r="C42" s="5"/>
      <c r="D42" s="1"/>
      <c r="E42" s="36"/>
      <c r="G42" s="5"/>
      <c r="H42" s="15"/>
      <c r="I42" s="16"/>
      <c r="J42" s="5"/>
      <c r="K42" s="5"/>
    </row>
    <row r="43" spans="2:11" x14ac:dyDescent="0.75">
      <c r="B43" s="159" t="s">
        <v>9</v>
      </c>
      <c r="C43" s="159"/>
      <c r="D43" s="159"/>
      <c r="E43" s="159"/>
      <c r="F43" s="159"/>
      <c r="G43" s="159"/>
      <c r="H43" s="159"/>
      <c r="I43" s="159"/>
      <c r="J43" s="159"/>
      <c r="K43" s="159"/>
    </row>
    <row r="44" spans="2:11" ht="44.25" x14ac:dyDescent="0.75">
      <c r="B44" s="23" t="s">
        <v>6</v>
      </c>
      <c r="C44" s="24" t="s">
        <v>49</v>
      </c>
      <c r="D44" s="23" t="s">
        <v>7</v>
      </c>
      <c r="E44" s="23" t="s">
        <v>47</v>
      </c>
      <c r="F44" s="24" t="s">
        <v>50</v>
      </c>
      <c r="G44" s="24" t="s">
        <v>51</v>
      </c>
      <c r="H44" s="23" t="s">
        <v>24</v>
      </c>
      <c r="I44" s="23" t="s">
        <v>45</v>
      </c>
      <c r="J44" s="24" t="s">
        <v>53</v>
      </c>
      <c r="K44" s="24" t="s">
        <v>8</v>
      </c>
    </row>
    <row r="45" spans="2:11" x14ac:dyDescent="0.75">
      <c r="B45" s="37">
        <f>I5</f>
        <v>100</v>
      </c>
      <c r="C45" s="44">
        <v>0</v>
      </c>
      <c r="D45" s="38">
        <v>25</v>
      </c>
      <c r="E45" s="39">
        <v>1.25</v>
      </c>
      <c r="F45" s="40">
        <f>E45*D45</f>
        <v>31.25</v>
      </c>
      <c r="G45" s="41">
        <f>F45*B45</f>
        <v>3125</v>
      </c>
      <c r="H45" s="39">
        <v>2.33</v>
      </c>
      <c r="I45" s="42">
        <f>H45*B45</f>
        <v>233</v>
      </c>
      <c r="J45" s="39">
        <f>SUM(D45*E45)+H45</f>
        <v>33.58</v>
      </c>
      <c r="K45" s="39">
        <f>SUM(J45*B45)+C45</f>
        <v>3358</v>
      </c>
    </row>
    <row r="46" spans="2:11" x14ac:dyDescent="0.75">
      <c r="B46" s="22"/>
      <c r="D46" s="5"/>
      <c r="E46" s="36"/>
      <c r="F46" s="16"/>
      <c r="G46" s="5"/>
      <c r="H46" s="43"/>
      <c r="I46" s="5"/>
      <c r="J46" s="5"/>
    </row>
    <row r="47" spans="2:11" x14ac:dyDescent="0.75">
      <c r="B47" s="22"/>
      <c r="D47" s="5"/>
      <c r="E47" s="36"/>
      <c r="F47" s="16"/>
      <c r="G47" s="5"/>
      <c r="H47" s="43"/>
      <c r="I47" s="5"/>
      <c r="J47" s="5"/>
    </row>
    <row r="48" spans="2:11" x14ac:dyDescent="0.75">
      <c r="B48" s="159" t="s">
        <v>10</v>
      </c>
      <c r="C48" s="159"/>
      <c r="D48" s="159"/>
      <c r="E48" s="159"/>
      <c r="F48" s="159"/>
      <c r="G48" s="159"/>
      <c r="H48" s="159"/>
      <c r="I48" s="159"/>
      <c r="J48" s="159"/>
      <c r="K48" s="159"/>
    </row>
    <row r="49" spans="1:12" x14ac:dyDescent="0.75">
      <c r="B49" t="s">
        <v>55</v>
      </c>
      <c r="I49" s="5"/>
    </row>
    <row r="50" spans="1:12" ht="59" x14ac:dyDescent="0.75">
      <c r="B50" s="24" t="s">
        <v>6</v>
      </c>
      <c r="C50" s="23" t="s">
        <v>123</v>
      </c>
      <c r="D50" s="24" t="s">
        <v>56</v>
      </c>
      <c r="E50" s="24" t="s">
        <v>64</v>
      </c>
      <c r="F50" s="24" t="s">
        <v>59</v>
      </c>
      <c r="G50" s="24" t="s">
        <v>60</v>
      </c>
      <c r="H50" s="24" t="s">
        <v>24</v>
      </c>
      <c r="I50" s="24" t="s">
        <v>45</v>
      </c>
      <c r="J50" s="24" t="s">
        <v>61</v>
      </c>
      <c r="K50" s="24" t="s">
        <v>62</v>
      </c>
    </row>
    <row r="51" spans="1:12" x14ac:dyDescent="0.75">
      <c r="A51" s="47" t="s">
        <v>66</v>
      </c>
      <c r="B51" s="45">
        <f>I5</f>
        <v>100</v>
      </c>
      <c r="C51" s="5">
        <f>G45</f>
        <v>3125</v>
      </c>
      <c r="D51" s="46">
        <v>0</v>
      </c>
      <c r="E51" s="45">
        <v>4</v>
      </c>
      <c r="F51" s="46">
        <f>G18</f>
        <v>15</v>
      </c>
      <c r="G51" s="45">
        <f>SUM(F51*E51)*B51</f>
        <v>6000</v>
      </c>
      <c r="H51" s="46">
        <v>2.33</v>
      </c>
      <c r="I51" s="46">
        <f>H51*'Production purchased machines'!B51</f>
        <v>233</v>
      </c>
      <c r="J51" s="46">
        <f>SUM(H51+F45)+(E51*F51)</f>
        <v>93.58</v>
      </c>
      <c r="K51" s="46">
        <f>J51*B51</f>
        <v>9358</v>
      </c>
    </row>
    <row r="52" spans="1:12" x14ac:dyDescent="0.75">
      <c r="A52" s="48" t="s">
        <v>67</v>
      </c>
      <c r="B52">
        <f>I5</f>
        <v>100</v>
      </c>
      <c r="C52" s="5">
        <f>G45</f>
        <v>3125</v>
      </c>
      <c r="D52" s="5">
        <v>0</v>
      </c>
      <c r="E52">
        <v>4</v>
      </c>
      <c r="F52" s="5">
        <f>G18</f>
        <v>15</v>
      </c>
      <c r="G52">
        <f>SUM(F52*E52)*B52</f>
        <v>6000</v>
      </c>
      <c r="H52" s="5">
        <f>H45</f>
        <v>2.33</v>
      </c>
      <c r="I52" s="5">
        <f>H52*B52</f>
        <v>233</v>
      </c>
      <c r="J52" s="5">
        <f>SUM(H52+F45)+(E52*F52)</f>
        <v>93.58</v>
      </c>
      <c r="K52" s="5">
        <f>J52*B52</f>
        <v>9358</v>
      </c>
    </row>
    <row r="53" spans="1:12" ht="15.5" thickBot="1" x14ac:dyDescent="0.9">
      <c r="B53" s="49"/>
      <c r="C53" s="50">
        <f t="shared" ref="C53:K53" si="0">C51+C52</f>
        <v>6250</v>
      </c>
      <c r="D53" s="50">
        <f t="shared" si="0"/>
        <v>0</v>
      </c>
      <c r="E53" s="50">
        <f t="shared" si="0"/>
        <v>8</v>
      </c>
      <c r="F53" s="50">
        <f t="shared" si="0"/>
        <v>30</v>
      </c>
      <c r="G53" s="50">
        <f t="shared" si="0"/>
        <v>12000</v>
      </c>
      <c r="H53" s="50">
        <f t="shared" si="0"/>
        <v>4.66</v>
      </c>
      <c r="I53" s="50">
        <f t="shared" si="0"/>
        <v>466</v>
      </c>
      <c r="J53" s="50">
        <f t="shared" si="0"/>
        <v>187.16</v>
      </c>
      <c r="K53" s="50">
        <f t="shared" si="0"/>
        <v>18716</v>
      </c>
    </row>
    <row r="54" spans="1:12" ht="15.5" thickTop="1" x14ac:dyDescent="0.75">
      <c r="C54" s="5"/>
      <c r="D54" s="5"/>
      <c r="E54" s="5"/>
      <c r="F54" s="5"/>
      <c r="G54" s="5"/>
      <c r="H54" s="5"/>
      <c r="I54" s="5"/>
      <c r="J54" s="5"/>
      <c r="K54" s="5"/>
    </row>
    <row r="55" spans="1:12" x14ac:dyDescent="0.75">
      <c r="C55" s="5"/>
      <c r="D55" s="5"/>
      <c r="E55" s="5"/>
      <c r="F55" s="5"/>
      <c r="G55" s="5"/>
      <c r="H55" s="5"/>
      <c r="I55" s="5"/>
      <c r="J55" s="5"/>
      <c r="K55" s="5"/>
    </row>
    <row r="56" spans="1:12" x14ac:dyDescent="0.75">
      <c r="C56" s="5"/>
      <c r="D56" s="5"/>
      <c r="E56" s="5"/>
      <c r="F56" s="5"/>
      <c r="G56" s="5"/>
      <c r="H56" s="5"/>
      <c r="I56" s="5"/>
      <c r="J56" s="5"/>
      <c r="K56" s="5"/>
    </row>
    <row r="57" spans="1:12" x14ac:dyDescent="0.75">
      <c r="B57" s="157" t="s">
        <v>68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</row>
    <row r="58" spans="1:12" ht="59" x14ac:dyDescent="0.75">
      <c r="B58" s="24" t="s">
        <v>6</v>
      </c>
      <c r="C58" s="24" t="s">
        <v>125</v>
      </c>
      <c r="D58" s="24" t="s">
        <v>74</v>
      </c>
      <c r="E58" s="24" t="s">
        <v>126</v>
      </c>
      <c r="F58" s="24" t="s">
        <v>72</v>
      </c>
      <c r="G58" s="24" t="s">
        <v>76</v>
      </c>
      <c r="H58" s="24" t="s">
        <v>71</v>
      </c>
      <c r="I58" s="24" t="s">
        <v>69</v>
      </c>
      <c r="J58" s="24" t="s">
        <v>70</v>
      </c>
      <c r="K58" s="24" t="s">
        <v>78</v>
      </c>
      <c r="L58" s="24" t="s">
        <v>77</v>
      </c>
    </row>
    <row r="59" spans="1:12" ht="15.5" thickBot="1" x14ac:dyDescent="0.9">
      <c r="B59" s="49">
        <f>I5</f>
        <v>100</v>
      </c>
      <c r="C59" s="50">
        <f>I14</f>
        <v>10000</v>
      </c>
      <c r="D59" s="50">
        <v>0</v>
      </c>
      <c r="E59" s="50">
        <f>G45</f>
        <v>3125</v>
      </c>
      <c r="F59" s="50">
        <f>I52</f>
        <v>233</v>
      </c>
      <c r="G59" s="49">
        <v>2.33</v>
      </c>
      <c r="H59" s="53">
        <v>2</v>
      </c>
      <c r="I59" s="49">
        <f>H59*G59</f>
        <v>4.66</v>
      </c>
      <c r="J59" s="49">
        <f>I59*B59</f>
        <v>466</v>
      </c>
      <c r="K59" s="49">
        <f>L59/100</f>
        <v>138.24</v>
      </c>
      <c r="L59" s="50">
        <f>J59+F59+E59+D59+C59</f>
        <v>13824</v>
      </c>
    </row>
    <row r="60" spans="1:12" ht="15.5" thickTop="1" x14ac:dyDescent="0.75">
      <c r="C60" s="5"/>
      <c r="D60" s="5"/>
      <c r="E60" s="5"/>
      <c r="F60" s="5"/>
      <c r="G60" s="5"/>
      <c r="H60" s="5"/>
      <c r="I60" s="5"/>
      <c r="J60" s="5"/>
      <c r="K60" s="5"/>
    </row>
    <row r="62" spans="1:12" x14ac:dyDescent="0.75">
      <c r="B62" s="159" t="s">
        <v>80</v>
      </c>
      <c r="C62" s="159"/>
      <c r="D62" s="159"/>
      <c r="E62" s="159"/>
      <c r="F62" s="159"/>
    </row>
    <row r="63" spans="1:12" ht="73.75" x14ac:dyDescent="0.75">
      <c r="B63" s="24" t="s">
        <v>6</v>
      </c>
      <c r="C63" s="24" t="s">
        <v>81</v>
      </c>
      <c r="D63" s="24" t="s">
        <v>82</v>
      </c>
      <c r="E63" s="24" t="s">
        <v>87</v>
      </c>
      <c r="F63" s="24" t="s">
        <v>88</v>
      </c>
    </row>
    <row r="64" spans="1:12" ht="15.5" thickBot="1" x14ac:dyDescent="0.9">
      <c r="B64" s="53">
        <f>I5</f>
        <v>100</v>
      </c>
      <c r="C64" s="53">
        <v>3</v>
      </c>
      <c r="D64" s="53">
        <v>25</v>
      </c>
      <c r="E64" s="53">
        <f>D64*C64</f>
        <v>75</v>
      </c>
      <c r="F64" s="53">
        <f>E64*B64</f>
        <v>7500</v>
      </c>
    </row>
    <row r="65" spans="2:5" ht="15.5" thickTop="1" x14ac:dyDescent="0.75"/>
    <row r="68" spans="2:5" x14ac:dyDescent="0.75">
      <c r="B68" s="159" t="s">
        <v>124</v>
      </c>
      <c r="C68" s="159"/>
      <c r="D68" s="159"/>
      <c r="E68" s="159"/>
    </row>
    <row r="69" spans="2:5" ht="44.25" x14ac:dyDescent="0.75">
      <c r="C69" s="9" t="s">
        <v>12</v>
      </c>
      <c r="D69" s="2" t="s">
        <v>13</v>
      </c>
      <c r="E69" s="2" t="s">
        <v>14</v>
      </c>
    </row>
    <row r="70" spans="2:5" x14ac:dyDescent="0.75">
      <c r="B70" s="6" t="s">
        <v>15</v>
      </c>
      <c r="C70" s="10">
        <f>D64</f>
        <v>25</v>
      </c>
      <c r="D70" s="11">
        <v>20</v>
      </c>
      <c r="E70" s="12">
        <f>SUM(D70*C70)</f>
        <v>500</v>
      </c>
    </row>
    <row r="71" spans="2:5" x14ac:dyDescent="0.75">
      <c r="B71" t="s">
        <v>16</v>
      </c>
      <c r="C71" s="1">
        <f>D64</f>
        <v>25</v>
      </c>
      <c r="D71" s="5">
        <v>15</v>
      </c>
      <c r="E71" s="5">
        <f>SUM(D71*C71)</f>
        <v>375</v>
      </c>
    </row>
    <row r="72" spans="2:5" ht="15.5" thickBot="1" x14ac:dyDescent="0.9">
      <c r="B72" s="49" t="s">
        <v>17</v>
      </c>
      <c r="C72" s="49"/>
      <c r="D72" s="49"/>
      <c r="E72" s="50">
        <f>E70+E71</f>
        <v>875</v>
      </c>
    </row>
    <row r="73" spans="2:5" ht="15.5" thickTop="1" x14ac:dyDescent="0.75">
      <c r="B73" s="1"/>
      <c r="C73" s="1"/>
      <c r="D73" s="1"/>
      <c r="E73" s="1"/>
    </row>
    <row r="74" spans="2:5" x14ac:dyDescent="0.75">
      <c r="B74" s="1"/>
      <c r="C74" s="1"/>
      <c r="D74" s="1"/>
      <c r="E74" s="1"/>
    </row>
    <row r="75" spans="2:5" x14ac:dyDescent="0.75">
      <c r="B75" s="159" t="s">
        <v>18</v>
      </c>
      <c r="C75" s="159"/>
      <c r="D75" s="159"/>
    </row>
    <row r="76" spans="2:5" ht="44.25" x14ac:dyDescent="0.75">
      <c r="B76" s="13" t="s">
        <v>19</v>
      </c>
      <c r="C76" s="13" t="s">
        <v>20</v>
      </c>
      <c r="D76" s="13" t="s">
        <v>98</v>
      </c>
    </row>
    <row r="77" spans="2:5" ht="15.5" thickBot="1" x14ac:dyDescent="0.9">
      <c r="B77" s="50">
        <v>250</v>
      </c>
      <c r="C77" s="53">
        <f>I5</f>
        <v>100</v>
      </c>
      <c r="D77" s="49">
        <f>C77*B77</f>
        <v>25000</v>
      </c>
    </row>
    <row r="78" spans="2:5" ht="15.5" thickTop="1" x14ac:dyDescent="0.75"/>
    <row r="84" spans="1:10" x14ac:dyDescent="0.75">
      <c r="A84" s="167" t="s">
        <v>101</v>
      </c>
      <c r="B84" s="167"/>
      <c r="C84" s="167"/>
      <c r="D84" s="167"/>
      <c r="E84" s="167"/>
      <c r="F84" s="167"/>
      <c r="G84" s="167"/>
      <c r="H84" s="167"/>
      <c r="I84" s="167"/>
      <c r="J84" s="167"/>
    </row>
    <row r="86" spans="1:10" ht="59" x14ac:dyDescent="0.75">
      <c r="B86" s="24" t="s">
        <v>6</v>
      </c>
      <c r="C86" s="51" t="s">
        <v>130</v>
      </c>
      <c r="D86" s="51" t="s">
        <v>90</v>
      </c>
      <c r="E86" s="24" t="s">
        <v>91</v>
      </c>
      <c r="F86" s="24" t="s">
        <v>93</v>
      </c>
      <c r="G86" s="24" t="s">
        <v>94</v>
      </c>
      <c r="H86" s="24" t="s">
        <v>92</v>
      </c>
      <c r="I86" s="24" t="s">
        <v>95</v>
      </c>
    </row>
    <row r="87" spans="1:10" x14ac:dyDescent="0.75">
      <c r="A87" t="s">
        <v>132</v>
      </c>
      <c r="B87" s="1">
        <f>I5</f>
        <v>100</v>
      </c>
      <c r="C87" s="1">
        <f>35*500</f>
        <v>17500</v>
      </c>
      <c r="D87" s="1">
        <f>C87/1000</f>
        <v>17.5</v>
      </c>
      <c r="E87" s="1">
        <f>D87*B87</f>
        <v>1750</v>
      </c>
      <c r="F87" s="5">
        <f>2/35</f>
        <v>5.7142857142857141E-2</v>
      </c>
      <c r="G87" s="5">
        <f>SUM(1000*F87)</f>
        <v>57.142857142857139</v>
      </c>
      <c r="H87" s="5">
        <f>G87*D87</f>
        <v>999.99999999999989</v>
      </c>
      <c r="I87">
        <f>H87*B87</f>
        <v>99999.999999999985</v>
      </c>
    </row>
    <row r="88" spans="1:10" x14ac:dyDescent="0.75">
      <c r="A88" t="s">
        <v>131</v>
      </c>
      <c r="B88" s="1">
        <f>I5</f>
        <v>100</v>
      </c>
      <c r="C88" s="1">
        <v>2000</v>
      </c>
      <c r="D88" s="1">
        <v>20</v>
      </c>
      <c r="E88" s="1">
        <f>B88*D88</f>
        <v>2000</v>
      </c>
      <c r="F88">
        <f>107/1000</f>
        <v>0.107</v>
      </c>
      <c r="G88" s="15">
        <f>F88*1000</f>
        <v>107</v>
      </c>
      <c r="H88" s="15">
        <f>D88*G88</f>
        <v>2140</v>
      </c>
      <c r="I88" s="36">
        <f>H88*B88</f>
        <v>214000</v>
      </c>
    </row>
    <row r="89" spans="1:10" ht="15.5" thickBot="1" x14ac:dyDescent="0.9">
      <c r="A89" s="49" t="s">
        <v>33</v>
      </c>
      <c r="B89" s="49"/>
      <c r="C89" s="53">
        <f>C87+C88</f>
        <v>19500</v>
      </c>
      <c r="D89" s="53">
        <f t="shared" ref="D89:I89" si="1">D87+D88</f>
        <v>37.5</v>
      </c>
      <c r="E89" s="53">
        <f t="shared" si="1"/>
        <v>3750</v>
      </c>
      <c r="F89" s="134">
        <f t="shared" si="1"/>
        <v>0.16414285714285715</v>
      </c>
      <c r="G89" s="50">
        <f t="shared" si="1"/>
        <v>164.14285714285714</v>
      </c>
      <c r="H89" s="50">
        <f t="shared" si="1"/>
        <v>3140</v>
      </c>
      <c r="I89" s="49">
        <f t="shared" si="1"/>
        <v>314000</v>
      </c>
    </row>
    <row r="90" spans="1:10" ht="15.5" thickTop="1" x14ac:dyDescent="0.75"/>
  </sheetData>
  <mergeCells count="21">
    <mergeCell ref="B4:K4"/>
    <mergeCell ref="C15:E15"/>
    <mergeCell ref="C18:E18"/>
    <mergeCell ref="C19:E19"/>
    <mergeCell ref="B48:K48"/>
    <mergeCell ref="B35:K35"/>
    <mergeCell ref="B39:K39"/>
    <mergeCell ref="B43:K43"/>
    <mergeCell ref="C25:E25"/>
    <mergeCell ref="C26:E26"/>
    <mergeCell ref="C28:E28"/>
    <mergeCell ref="C29:E29"/>
    <mergeCell ref="B75:D75"/>
    <mergeCell ref="B57:L57"/>
    <mergeCell ref="A84:J84"/>
    <mergeCell ref="C7:G7"/>
    <mergeCell ref="B12:K12"/>
    <mergeCell ref="C14:E14"/>
    <mergeCell ref="C17:E17"/>
    <mergeCell ref="B62:F62"/>
    <mergeCell ref="B68:E6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D0DE-688F-40ED-A8F0-21A41BCDC060}">
  <dimension ref="A1:J44"/>
  <sheetViews>
    <sheetView zoomScale="70" zoomScaleNormal="70" workbookViewId="0">
      <selection activeCell="B21" sqref="B21"/>
    </sheetView>
  </sheetViews>
  <sheetFormatPr defaultRowHeight="14.75" x14ac:dyDescent="0.75"/>
  <cols>
    <col min="1" max="1" width="47.26953125" bestFit="1" customWidth="1"/>
    <col min="2" max="3" width="12.26953125" bestFit="1" customWidth="1"/>
    <col min="7" max="7" width="47.26953125" bestFit="1" customWidth="1"/>
    <col min="8" max="8" width="12.26953125" bestFit="1" customWidth="1"/>
    <col min="9" max="9" width="41.58984375" bestFit="1" customWidth="1"/>
  </cols>
  <sheetData>
    <row r="1" spans="1:10" x14ac:dyDescent="0.75">
      <c r="A1" s="57" t="s">
        <v>104</v>
      </c>
      <c r="B1" s="58"/>
      <c r="C1" s="59"/>
      <c r="G1" s="57" t="s">
        <v>104</v>
      </c>
      <c r="H1" s="58"/>
      <c r="I1" s="59"/>
    </row>
    <row r="2" spans="1:10" ht="17" x14ac:dyDescent="1.2">
      <c r="A2" s="64" t="s">
        <v>135</v>
      </c>
      <c r="B2" s="58" t="s">
        <v>105</v>
      </c>
      <c r="C2" s="59" t="s">
        <v>105</v>
      </c>
      <c r="G2" s="64" t="s">
        <v>188</v>
      </c>
      <c r="H2" s="58" t="s">
        <v>105</v>
      </c>
      <c r="I2" s="59" t="s">
        <v>105</v>
      </c>
    </row>
    <row r="3" spans="1:10" x14ac:dyDescent="0.75">
      <c r="B3" s="60"/>
      <c r="C3" s="59"/>
      <c r="H3" s="60"/>
      <c r="I3" s="59"/>
    </row>
    <row r="4" spans="1:10" x14ac:dyDescent="0.75">
      <c r="A4" s="57" t="s">
        <v>134</v>
      </c>
      <c r="B4" s="60">
        <f>'Production rented machines'!I78</f>
        <v>99999.999999999985</v>
      </c>
      <c r="C4" s="59"/>
      <c r="G4" s="57" t="s">
        <v>134</v>
      </c>
      <c r="H4" s="60">
        <f>'Production purchased machines'!I87</f>
        <v>99999.999999999985</v>
      </c>
      <c r="I4" s="59"/>
      <c r="J4" t="s">
        <v>322</v>
      </c>
    </row>
    <row r="5" spans="1:10" x14ac:dyDescent="0.75">
      <c r="A5" s="57" t="s">
        <v>133</v>
      </c>
      <c r="B5" s="60">
        <f>'Production rented machines'!I79</f>
        <v>214000</v>
      </c>
      <c r="C5" s="59"/>
      <c r="G5" s="57" t="s">
        <v>133</v>
      </c>
      <c r="H5" s="60">
        <f>'Production purchased machines'!I88</f>
        <v>214000</v>
      </c>
      <c r="I5" s="59"/>
    </row>
    <row r="6" spans="1:10" ht="15.5" thickBot="1" x14ac:dyDescent="0.9">
      <c r="A6" s="61" t="s">
        <v>106</v>
      </c>
      <c r="B6" s="62"/>
      <c r="C6" s="63">
        <f>SUM(B3:B5)</f>
        <v>314000</v>
      </c>
      <c r="G6" s="61" t="s">
        <v>106</v>
      </c>
      <c r="H6" s="62"/>
      <c r="I6" s="63">
        <f>SUM(H3:H5)</f>
        <v>314000</v>
      </c>
    </row>
    <row r="7" spans="1:10" ht="17.75" thickTop="1" x14ac:dyDescent="1.2">
      <c r="A7" s="64" t="s">
        <v>136</v>
      </c>
      <c r="B7" s="58"/>
      <c r="C7" s="59"/>
      <c r="G7" s="64" t="s">
        <v>323</v>
      </c>
      <c r="H7" s="58"/>
      <c r="I7" s="59"/>
    </row>
    <row r="8" spans="1:10" x14ac:dyDescent="0.75">
      <c r="A8" t="s">
        <v>142</v>
      </c>
      <c r="B8" s="60">
        <f>'Production rented machines'!H19</f>
        <v>84000</v>
      </c>
      <c r="C8" s="59"/>
      <c r="G8" t="s">
        <v>142</v>
      </c>
      <c r="H8" s="60">
        <f>'Production purchased machines'!I20</f>
        <v>110000</v>
      </c>
      <c r="I8" s="59"/>
    </row>
    <row r="9" spans="1:10" x14ac:dyDescent="0.75">
      <c r="A9" s="57" t="s">
        <v>137</v>
      </c>
      <c r="B9" s="58">
        <f>'Production rented machines'!H27</f>
        <v>22500</v>
      </c>
      <c r="C9" s="59"/>
      <c r="G9" s="152"/>
      <c r="H9" s="58"/>
      <c r="I9" s="59" t="s">
        <v>325</v>
      </c>
    </row>
    <row r="10" spans="1:10" x14ac:dyDescent="0.75">
      <c r="A10" s="57" t="s">
        <v>138</v>
      </c>
      <c r="B10" s="58">
        <f>'Production rented machines'!K34-3125-'Production rented machines'!I34-'Production rented machines'!I38-'Production rented machines'!I42-'Production rented machines'!I50-'Production rented machines'!F55-'Production rented machines'!J55</f>
        <v>10369</v>
      </c>
      <c r="C10" s="59"/>
      <c r="G10" s="57" t="s">
        <v>138</v>
      </c>
      <c r="H10" s="58">
        <f>'Production purchased machines'!K37</f>
        <v>3358</v>
      </c>
      <c r="I10" s="59"/>
    </row>
    <row r="11" spans="1:10" x14ac:dyDescent="0.75">
      <c r="A11" s="57" t="s">
        <v>139</v>
      </c>
      <c r="B11" s="58">
        <f>'Production rented machines'!K38-3125</f>
        <v>15233</v>
      </c>
      <c r="C11" s="59"/>
      <c r="G11" s="57" t="s">
        <v>139</v>
      </c>
      <c r="H11" s="58">
        <f>'Production purchased machines'!K41</f>
        <v>3358</v>
      </c>
      <c r="I11" s="59"/>
    </row>
    <row r="12" spans="1:10" x14ac:dyDescent="0.75">
      <c r="A12" s="57" t="s">
        <v>9</v>
      </c>
      <c r="B12" s="58">
        <f>'Production rented machines'!K42-3125</f>
        <v>15233</v>
      </c>
      <c r="C12" s="59"/>
      <c r="G12" s="57" t="s">
        <v>9</v>
      </c>
      <c r="H12" s="58">
        <f>'Production purchased machines'!K45</f>
        <v>3358</v>
      </c>
      <c r="I12" s="59"/>
    </row>
    <row r="13" spans="1:10" x14ac:dyDescent="0.75">
      <c r="A13" s="57" t="s">
        <v>140</v>
      </c>
      <c r="B13" s="58">
        <f>'Production rented machines'!K50-3125</f>
        <v>23590.999999999996</v>
      </c>
      <c r="C13" s="59"/>
      <c r="G13" s="57" t="s">
        <v>140</v>
      </c>
      <c r="H13" s="58">
        <f>'Production purchased machines'!K53</f>
        <v>18716</v>
      </c>
      <c r="I13" s="59"/>
    </row>
    <row r="14" spans="1:10" x14ac:dyDescent="0.75">
      <c r="A14" s="57" t="s">
        <v>54</v>
      </c>
      <c r="B14" s="70">
        <f>'Production rented machines'!L55-3125</f>
        <v>26699</v>
      </c>
      <c r="C14" s="59"/>
      <c r="G14" s="57" t="s">
        <v>54</v>
      </c>
      <c r="H14" s="70">
        <f>'Production purchased machines'!L59</f>
        <v>13824</v>
      </c>
      <c r="I14" s="59"/>
    </row>
    <row r="15" spans="1:10" x14ac:dyDescent="0.75">
      <c r="A15" s="57" t="s">
        <v>141</v>
      </c>
      <c r="B15" s="70">
        <f>'Production rented machines'!F60</f>
        <v>5000</v>
      </c>
      <c r="C15" s="59"/>
      <c r="G15" s="57" t="s">
        <v>141</v>
      </c>
      <c r="H15" s="70">
        <f>'Production purchased machines'!F64</f>
        <v>7500</v>
      </c>
      <c r="I15" s="59"/>
    </row>
    <row r="16" spans="1:10" x14ac:dyDescent="0.75">
      <c r="A16" s="57"/>
      <c r="B16" s="58"/>
      <c r="C16" s="66">
        <f>SUM(B8:B16)</f>
        <v>202625</v>
      </c>
      <c r="G16" s="57"/>
      <c r="H16" s="58"/>
      <c r="I16" s="66">
        <f>SUM(H8:H15)</f>
        <v>160114</v>
      </c>
    </row>
    <row r="17" spans="1:10" ht="15.5" thickBot="1" x14ac:dyDescent="0.9">
      <c r="A17" s="67" t="s">
        <v>108</v>
      </c>
      <c r="B17" s="62"/>
      <c r="C17" s="63">
        <f>SUM(C6-C16)</f>
        <v>111375</v>
      </c>
      <c r="G17" s="67" t="s">
        <v>108</v>
      </c>
      <c r="H17" s="62"/>
      <c r="I17" s="63">
        <f>SUM(I6-I16)</f>
        <v>153886</v>
      </c>
    </row>
    <row r="18" spans="1:10" ht="17.75" thickTop="1" x14ac:dyDescent="1.2">
      <c r="A18" s="64" t="s">
        <v>109</v>
      </c>
      <c r="B18" s="58"/>
      <c r="C18" s="59"/>
      <c r="G18" s="64" t="s">
        <v>337</v>
      </c>
      <c r="H18" s="58"/>
      <c r="I18" s="59"/>
    </row>
    <row r="19" spans="1:10" x14ac:dyDescent="0.75">
      <c r="A19" s="57"/>
      <c r="B19" s="58"/>
      <c r="C19" s="59"/>
      <c r="G19" s="57"/>
      <c r="H19" s="58"/>
      <c r="I19" s="59"/>
    </row>
    <row r="20" spans="1:10" x14ac:dyDescent="0.75">
      <c r="A20" s="57" t="s">
        <v>143</v>
      </c>
      <c r="B20" s="58">
        <f>'Production rented machines'!D72</f>
        <v>25000</v>
      </c>
      <c r="C20" s="59"/>
      <c r="G20" s="57" t="s">
        <v>143</v>
      </c>
      <c r="H20" s="58">
        <f>'Production purchased machines'!D77</f>
        <v>25000</v>
      </c>
      <c r="I20" s="59"/>
    </row>
    <row r="21" spans="1:10" x14ac:dyDescent="0.75">
      <c r="A21" s="57" t="s">
        <v>336</v>
      </c>
      <c r="B21" s="58">
        <f>SUM(C6/100)*5</f>
        <v>15700</v>
      </c>
      <c r="C21" s="59"/>
      <c r="G21" s="57" t="s">
        <v>336</v>
      </c>
      <c r="H21" s="58">
        <f>SUM(I6/100)*5</f>
        <v>15700</v>
      </c>
      <c r="I21" s="59"/>
    </row>
    <row r="22" spans="1:10" x14ac:dyDescent="0.75">
      <c r="A22" s="57" t="s">
        <v>144</v>
      </c>
      <c r="B22" s="58">
        <f>'Production rented machines'!E67</f>
        <v>875</v>
      </c>
      <c r="C22" s="59"/>
      <c r="G22" s="57" t="s">
        <v>144</v>
      </c>
      <c r="H22" s="58">
        <f>'Production purchased machines'!E72</f>
        <v>875</v>
      </c>
      <c r="I22" s="59"/>
    </row>
    <row r="23" spans="1:10" x14ac:dyDescent="0.75">
      <c r="A23" s="57" t="s">
        <v>145</v>
      </c>
      <c r="B23" s="58">
        <f>'payroll '!Q14</f>
        <v>1800</v>
      </c>
      <c r="C23" s="59"/>
      <c r="G23" s="57" t="s">
        <v>145</v>
      </c>
      <c r="H23" s="58">
        <f>'payroll '!Q14</f>
        <v>1800</v>
      </c>
      <c r="I23" s="59"/>
    </row>
    <row r="24" spans="1:10" x14ac:dyDescent="0.75">
      <c r="A24" s="57" t="s">
        <v>313</v>
      </c>
      <c r="B24" s="58">
        <f>SUM('Production rented machines'!G34+'Production rented machines'!G38+'Production rented machines'!G42+3125+3125+3125)</f>
        <v>18750</v>
      </c>
      <c r="C24" s="59"/>
      <c r="G24" s="57" t="s">
        <v>313</v>
      </c>
      <c r="H24" s="58">
        <f>SUM('Production purchased machines'!G37+'Production purchased machines'!G41+'Production purchased machines'!G45+'Production purchased machines'!C53+'Production purchased machines'!E59)</f>
        <v>18750</v>
      </c>
      <c r="I24" s="59"/>
    </row>
    <row r="25" spans="1:10" x14ac:dyDescent="0.75">
      <c r="A25" s="57" t="s">
        <v>316</v>
      </c>
      <c r="B25" s="58">
        <f>'Production rented machines'!J55+'Production rented machines'!F55+'Production rented machines'!I50+'Production rented machines'!I42+'Production rented machines'!I38+'Production rented machines'!I34</f>
        <v>1864</v>
      </c>
      <c r="C25" s="59"/>
      <c r="G25" s="57" t="s">
        <v>317</v>
      </c>
      <c r="H25" s="58">
        <f>'Production purchased machines'!I37+'Production purchased machines'!I41+'Production purchased machines'!I45+'Production purchased machines'!I53+'Production purchased machines'!J59+'Production purchased machines'!F59</f>
        <v>1864</v>
      </c>
      <c r="I25" s="59"/>
    </row>
    <row r="26" spans="1:10" x14ac:dyDescent="0.75">
      <c r="A26" s="57"/>
      <c r="B26" s="58">
        <v>0</v>
      </c>
      <c r="C26" s="59"/>
      <c r="G26" s="57"/>
      <c r="H26" s="58">
        <v>0</v>
      </c>
      <c r="I26" s="59"/>
    </row>
    <row r="27" spans="1:10" ht="17" x14ac:dyDescent="1.2">
      <c r="A27" s="57"/>
      <c r="B27" s="58">
        <v>0</v>
      </c>
      <c r="C27" s="59"/>
      <c r="G27" s="57"/>
      <c r="H27" s="151">
        <v>0</v>
      </c>
      <c r="I27" s="59"/>
    </row>
    <row r="28" spans="1:10" x14ac:dyDescent="0.75">
      <c r="A28" s="57" t="s">
        <v>339</v>
      </c>
      <c r="B28" s="58"/>
      <c r="C28" s="66">
        <f>SUM(B20:B27)</f>
        <v>63989</v>
      </c>
      <c r="G28" s="57" t="s">
        <v>338</v>
      </c>
      <c r="H28" s="58"/>
      <c r="I28" s="66">
        <f>SUM(H20:H27)</f>
        <v>63989</v>
      </c>
      <c r="J28" t="s">
        <v>324</v>
      </c>
    </row>
    <row r="29" spans="1:10" x14ac:dyDescent="0.75">
      <c r="A29" s="57" t="s">
        <v>114</v>
      </c>
      <c r="B29" s="58"/>
      <c r="C29" s="59">
        <f>SUM(C17-C28)</f>
        <v>47386</v>
      </c>
      <c r="G29" s="57" t="s">
        <v>114</v>
      </c>
      <c r="H29" s="58"/>
      <c r="I29" s="59">
        <f>SUM(I17-I28)</f>
        <v>89897</v>
      </c>
    </row>
    <row r="30" spans="1:10" ht="15.5" thickBot="1" x14ac:dyDescent="0.9">
      <c r="A30" s="68" t="s">
        <v>115</v>
      </c>
      <c r="B30" s="69"/>
      <c r="C30" s="63">
        <f>SUM(C29+C34)</f>
        <v>47386</v>
      </c>
      <c r="G30" s="68" t="s">
        <v>115</v>
      </c>
      <c r="H30" s="69"/>
      <c r="I30" s="63">
        <f>SUM(I29+I34)</f>
        <v>90620.375</v>
      </c>
      <c r="J30" t="s">
        <v>326</v>
      </c>
    </row>
    <row r="31" spans="1:10" ht="15.5" thickTop="1" x14ac:dyDescent="0.75">
      <c r="B31" s="70"/>
      <c r="C31" s="70"/>
      <c r="H31" s="70"/>
      <c r="I31" s="70"/>
      <c r="J31" t="s">
        <v>327</v>
      </c>
    </row>
    <row r="32" spans="1:10" x14ac:dyDescent="0.75">
      <c r="A32" t="s">
        <v>116</v>
      </c>
      <c r="B32" s="70">
        <v>0</v>
      </c>
      <c r="C32" s="70"/>
      <c r="G32" t="s">
        <v>116</v>
      </c>
      <c r="H32" s="70">
        <f>Depreciation!H10</f>
        <v>723.375</v>
      </c>
      <c r="I32" s="70"/>
      <c r="J32" t="s">
        <v>328</v>
      </c>
    </row>
    <row r="33" spans="1:10" x14ac:dyDescent="0.75">
      <c r="A33" s="57" t="s">
        <v>117</v>
      </c>
      <c r="B33" s="70">
        <v>0</v>
      </c>
      <c r="C33" s="70"/>
      <c r="G33" s="57" t="s">
        <v>117</v>
      </c>
      <c r="H33" s="70">
        <v>0</v>
      </c>
      <c r="I33" s="70"/>
      <c r="J33" t="s">
        <v>329</v>
      </c>
    </row>
    <row r="34" spans="1:10" x14ac:dyDescent="0.75">
      <c r="A34" s="57" t="s">
        <v>118</v>
      </c>
      <c r="B34" s="70"/>
      <c r="C34" s="70">
        <f>SUM(B31:B33)</f>
        <v>0</v>
      </c>
      <c r="G34" s="57" t="s">
        <v>118</v>
      </c>
      <c r="H34" s="70"/>
      <c r="I34" s="70">
        <f>SUM(H31:H33)</f>
        <v>723.375</v>
      </c>
      <c r="J34" t="s">
        <v>330</v>
      </c>
    </row>
    <row r="35" spans="1:10" ht="15.5" thickBot="1" x14ac:dyDescent="0.9">
      <c r="A35" s="71" t="s">
        <v>119</v>
      </c>
      <c r="B35" s="72"/>
      <c r="C35" s="72">
        <f>SUM(C6-C16-C28)</f>
        <v>47386</v>
      </c>
      <c r="G35" s="71" t="s">
        <v>119</v>
      </c>
      <c r="H35" s="72"/>
      <c r="I35" s="72">
        <f>SUM(I6-I16-I28)</f>
        <v>89897</v>
      </c>
    </row>
    <row r="36" spans="1:10" ht="15.5" thickTop="1" x14ac:dyDescent="0.75">
      <c r="B36" s="70"/>
      <c r="C36" s="70"/>
      <c r="H36" s="70"/>
      <c r="I36" s="70"/>
    </row>
    <row r="37" spans="1:10" x14ac:dyDescent="0.75">
      <c r="A37" t="s">
        <v>120</v>
      </c>
      <c r="B37" s="70">
        <v>0</v>
      </c>
      <c r="C37" s="70"/>
      <c r="G37" t="s">
        <v>265</v>
      </c>
      <c r="I37" s="70">
        <f>SUM(I35/100*18)</f>
        <v>16181.460000000001</v>
      </c>
    </row>
    <row r="38" spans="1:10" x14ac:dyDescent="0.75">
      <c r="B38" s="70"/>
      <c r="C38" s="70"/>
      <c r="H38" s="70"/>
      <c r="I38" s="70"/>
    </row>
    <row r="39" spans="1:10" ht="15.5" thickBot="1" x14ac:dyDescent="0.9">
      <c r="A39" s="71" t="s">
        <v>121</v>
      </c>
      <c r="B39" s="72"/>
      <c r="C39" s="72">
        <f>SUM(C35-B37)</f>
        <v>47386</v>
      </c>
      <c r="G39" s="71" t="s">
        <v>121</v>
      </c>
      <c r="H39" s="72"/>
      <c r="I39" s="72">
        <f>SUM(I35-I37)</f>
        <v>73715.539999999994</v>
      </c>
    </row>
    <row r="40" spans="1:10" ht="15.5" thickTop="1" x14ac:dyDescent="0.75">
      <c r="B40" s="70"/>
      <c r="C40" s="70"/>
      <c r="H40" s="70"/>
      <c r="I40" s="70"/>
    </row>
    <row r="41" spans="1:10" x14ac:dyDescent="0.75">
      <c r="A41" s="57" t="s">
        <v>318</v>
      </c>
      <c r="B41" s="70">
        <f>SUM(C39/100)*31</f>
        <v>14689.66</v>
      </c>
      <c r="C41" s="70"/>
      <c r="G41" s="57" t="s">
        <v>318</v>
      </c>
      <c r="H41" s="70">
        <f>SUM(I39/100)*31</f>
        <v>22851.8174</v>
      </c>
      <c r="I41" s="70"/>
    </row>
    <row r="42" spans="1:10" x14ac:dyDescent="0.75">
      <c r="B42" s="70"/>
      <c r="C42" s="70"/>
      <c r="H42" s="70"/>
      <c r="I42" s="70"/>
    </row>
    <row r="43" spans="1:10" ht="15.5" thickBot="1" x14ac:dyDescent="0.9">
      <c r="A43" s="71" t="s">
        <v>122</v>
      </c>
      <c r="B43" s="72"/>
      <c r="C43" s="72">
        <f>SUM(C39-B41)</f>
        <v>32696.34</v>
      </c>
      <c r="G43" s="71" t="s">
        <v>122</v>
      </c>
      <c r="H43" s="72"/>
      <c r="I43" s="72">
        <f>SUM(I39-H41)</f>
        <v>50863.722599999994</v>
      </c>
    </row>
    <row r="44" spans="1:10" ht="15.5" thickTop="1" x14ac:dyDescent="0.7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D07D-2931-4D2F-9FA9-920FCC77E326}">
  <dimension ref="A1:J13"/>
  <sheetViews>
    <sheetView workbookViewId="0">
      <selection activeCell="E18" sqref="E18"/>
    </sheetView>
  </sheetViews>
  <sheetFormatPr defaultRowHeight="14.75" x14ac:dyDescent="0.75"/>
  <cols>
    <col min="1" max="1" width="26.90625" customWidth="1"/>
    <col min="2" max="2" width="11.7265625" bestFit="1" customWidth="1"/>
    <col min="3" max="3" width="23.81640625" customWidth="1"/>
    <col min="4" max="4" width="19" customWidth="1"/>
    <col min="5" max="5" width="15.54296875" bestFit="1" customWidth="1"/>
    <col min="6" max="6" width="18.54296875" bestFit="1" customWidth="1"/>
    <col min="7" max="7" width="15.36328125" bestFit="1" customWidth="1"/>
    <col min="8" max="8" width="18.90625" customWidth="1"/>
    <col min="9" max="9" width="11.81640625" bestFit="1" customWidth="1"/>
    <col min="10" max="10" width="11.7265625" bestFit="1" customWidth="1"/>
  </cols>
  <sheetData>
    <row r="1" spans="1:10" x14ac:dyDescent="0.75">
      <c r="A1" s="163" t="s">
        <v>187</v>
      </c>
      <c r="B1" s="163"/>
      <c r="C1" s="163"/>
    </row>
    <row r="4" spans="1:10" ht="29.5" x14ac:dyDescent="0.75">
      <c r="A4" s="132" t="s">
        <v>189</v>
      </c>
      <c r="B4" s="132" t="s">
        <v>190</v>
      </c>
      <c r="C4" s="23" t="s">
        <v>191</v>
      </c>
      <c r="D4" s="132" t="s">
        <v>192</v>
      </c>
      <c r="E4" s="132" t="s">
        <v>193</v>
      </c>
      <c r="F4" s="132" t="s">
        <v>194</v>
      </c>
      <c r="G4" s="132" t="s">
        <v>195</v>
      </c>
      <c r="H4" s="23" t="s">
        <v>196</v>
      </c>
      <c r="I4" s="51" t="s">
        <v>332</v>
      </c>
      <c r="J4" s="51" t="s">
        <v>333</v>
      </c>
    </row>
    <row r="5" spans="1:10" x14ac:dyDescent="0.75">
      <c r="A5" t="s">
        <v>260</v>
      </c>
      <c r="B5">
        <v>1</v>
      </c>
      <c r="C5" s="5">
        <f>'Production purchased machines'!G25</f>
        <v>20000</v>
      </c>
      <c r="D5">
        <v>2024</v>
      </c>
      <c r="E5">
        <v>25</v>
      </c>
      <c r="F5">
        <f>D5+E5</f>
        <v>2049</v>
      </c>
      <c r="G5" s="133">
        <v>0.05</v>
      </c>
      <c r="H5">
        <f>SUM(C5/100*G5)*E5</f>
        <v>250</v>
      </c>
      <c r="I5" s="154">
        <f>(C5-100)/E5</f>
        <v>796</v>
      </c>
      <c r="J5" s="153">
        <f>I5/C5</f>
        <v>3.9800000000000002E-2</v>
      </c>
    </row>
    <row r="6" spans="1:10" x14ac:dyDescent="0.75">
      <c r="A6" t="s">
        <v>261</v>
      </c>
      <c r="B6">
        <v>1</v>
      </c>
      <c r="C6" s="5">
        <f>'Production purchased machines'!G26</f>
        <v>17000</v>
      </c>
      <c r="D6">
        <v>2024</v>
      </c>
      <c r="E6">
        <v>15</v>
      </c>
      <c r="F6">
        <f t="shared" ref="F6:F9" si="0">D6+E6</f>
        <v>2039</v>
      </c>
      <c r="G6" s="133">
        <v>0.05</v>
      </c>
      <c r="H6">
        <f t="shared" ref="H6:H8" si="1">SUM(C6/100*G6)*E6</f>
        <v>127.5</v>
      </c>
      <c r="I6" s="154">
        <f t="shared" ref="I6:I9" si="2">(C6-100)/E6</f>
        <v>1126.6666666666667</v>
      </c>
      <c r="J6" s="153">
        <f t="shared" ref="J6:J9" si="3">I6/C6</f>
        <v>6.6274509803921577E-2</v>
      </c>
    </row>
    <row r="7" spans="1:10" x14ac:dyDescent="0.75">
      <c r="A7" t="s">
        <v>262</v>
      </c>
      <c r="B7">
        <v>1</v>
      </c>
      <c r="C7" s="5">
        <f>'Production purchased machines'!I28</f>
        <v>64000</v>
      </c>
      <c r="D7">
        <v>2024</v>
      </c>
      <c r="E7">
        <v>10</v>
      </c>
      <c r="F7">
        <f t="shared" si="0"/>
        <v>2034</v>
      </c>
      <c r="G7" s="133">
        <v>0.05</v>
      </c>
      <c r="H7">
        <f t="shared" si="1"/>
        <v>320</v>
      </c>
      <c r="I7" s="154">
        <f t="shared" si="2"/>
        <v>6390</v>
      </c>
      <c r="J7" s="153">
        <f t="shared" si="3"/>
        <v>9.9843749999999995E-2</v>
      </c>
    </row>
    <row r="8" spans="1:10" x14ac:dyDescent="0.75">
      <c r="A8" t="s">
        <v>263</v>
      </c>
      <c r="B8">
        <v>1</v>
      </c>
      <c r="C8" s="5">
        <f>'Production purchased machines'!G29</f>
        <v>350</v>
      </c>
      <c r="D8">
        <v>2024</v>
      </c>
      <c r="E8">
        <v>5</v>
      </c>
      <c r="F8">
        <f t="shared" si="0"/>
        <v>2029</v>
      </c>
      <c r="G8" s="133">
        <v>0.05</v>
      </c>
      <c r="H8">
        <f t="shared" si="1"/>
        <v>0.87500000000000011</v>
      </c>
      <c r="I8" s="154">
        <f t="shared" si="2"/>
        <v>50</v>
      </c>
      <c r="J8" s="153">
        <f t="shared" si="3"/>
        <v>0.14285714285714285</v>
      </c>
    </row>
    <row r="9" spans="1:10" x14ac:dyDescent="0.75">
      <c r="A9" t="s">
        <v>264</v>
      </c>
      <c r="B9">
        <v>1</v>
      </c>
      <c r="C9" s="5">
        <f>'Production purchased machines'!I27</f>
        <v>5000</v>
      </c>
      <c r="D9">
        <v>2024</v>
      </c>
      <c r="E9">
        <v>10</v>
      </c>
      <c r="F9">
        <f t="shared" si="0"/>
        <v>2034</v>
      </c>
      <c r="G9" s="133">
        <v>0.05</v>
      </c>
      <c r="H9">
        <f>SUM(C9/100*G9)*E9</f>
        <v>25</v>
      </c>
      <c r="I9" s="154">
        <f t="shared" si="2"/>
        <v>490</v>
      </c>
      <c r="J9" s="153">
        <f t="shared" si="3"/>
        <v>9.8000000000000004E-2</v>
      </c>
    </row>
    <row r="10" spans="1:10" ht="15.5" thickBot="1" x14ac:dyDescent="0.9">
      <c r="A10" s="7" t="s">
        <v>17</v>
      </c>
      <c r="B10" s="7"/>
      <c r="C10" s="8">
        <f>SUM(C5:C9)</f>
        <v>106350</v>
      </c>
      <c r="D10" s="7"/>
      <c r="E10" s="7"/>
      <c r="F10" s="7"/>
      <c r="G10" s="7"/>
      <c r="H10" s="7">
        <f>SUM(H5:H9)</f>
        <v>723.375</v>
      </c>
    </row>
    <row r="11" spans="1:10" ht="15.5" thickTop="1" x14ac:dyDescent="0.75"/>
    <row r="12" spans="1:10" x14ac:dyDescent="0.75">
      <c r="E12" t="s">
        <v>331</v>
      </c>
    </row>
    <row r="13" spans="1:10" x14ac:dyDescent="0.75">
      <c r="E13" t="s">
        <v>334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F88C-C3C2-48D3-AD37-B87D2967D79A}">
  <dimension ref="A1:AM51"/>
  <sheetViews>
    <sheetView workbookViewId="0">
      <selection activeCell="B25" sqref="B25"/>
    </sheetView>
  </sheetViews>
  <sheetFormatPr defaultRowHeight="14.75" x14ac:dyDescent="0.75"/>
  <cols>
    <col min="1" max="1" width="38.54296875" bestFit="1" customWidth="1"/>
    <col min="2" max="2" width="12.453125" bestFit="1" customWidth="1"/>
    <col min="3" max="11" width="11.81640625" bestFit="1" customWidth="1"/>
    <col min="12" max="12" width="12.453125" bestFit="1" customWidth="1"/>
    <col min="13" max="14" width="14" bestFit="1" customWidth="1"/>
    <col min="15" max="25" width="11.453125" bestFit="1" customWidth="1"/>
    <col min="26" max="26" width="9.7265625" customWidth="1"/>
  </cols>
  <sheetData>
    <row r="1" spans="1:37" x14ac:dyDescent="0.75">
      <c r="A1" s="85"/>
    </row>
    <row r="2" spans="1:37" x14ac:dyDescent="0.75">
      <c r="A2" s="120" t="s">
        <v>221</v>
      </c>
      <c r="C2" t="s">
        <v>222</v>
      </c>
      <c r="F2" t="s">
        <v>223</v>
      </c>
      <c r="I2" t="s">
        <v>224</v>
      </c>
      <c r="L2" t="s">
        <v>225</v>
      </c>
    </row>
    <row r="3" spans="1:37" x14ac:dyDescent="0.75">
      <c r="A3" s="77" t="s">
        <v>266</v>
      </c>
      <c r="B3" s="77" t="s">
        <v>156</v>
      </c>
      <c r="C3" s="77" t="s">
        <v>314</v>
      </c>
      <c r="D3" s="77" t="s">
        <v>158</v>
      </c>
      <c r="E3" s="77" t="s">
        <v>159</v>
      </c>
      <c r="F3" s="77" t="s">
        <v>160</v>
      </c>
      <c r="G3" s="77" t="s">
        <v>149</v>
      </c>
      <c r="H3" s="77" t="s">
        <v>150</v>
      </c>
      <c r="I3" s="77" t="s">
        <v>151</v>
      </c>
      <c r="J3" s="77" t="s">
        <v>152</v>
      </c>
      <c r="K3" s="77" t="s">
        <v>153</v>
      </c>
      <c r="L3" s="77" t="s">
        <v>154</v>
      </c>
      <c r="M3" s="77" t="s">
        <v>155</v>
      </c>
      <c r="N3" s="77" t="s">
        <v>17</v>
      </c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</row>
    <row r="4" spans="1:37" x14ac:dyDescent="0.75">
      <c r="A4" s="120" t="s">
        <v>227</v>
      </c>
      <c r="B4" s="65"/>
      <c r="C4" s="65"/>
      <c r="D4" s="65"/>
      <c r="E4" s="65"/>
      <c r="F4" s="65"/>
      <c r="G4" s="65"/>
      <c r="H4" s="65"/>
      <c r="N4" s="131">
        <f>SUM(B4:M4)</f>
        <v>0</v>
      </c>
      <c r="O4" s="131"/>
      <c r="P4" s="131"/>
      <c r="Q4" s="131"/>
      <c r="R4" s="131"/>
      <c r="S4" s="131"/>
      <c r="T4" s="131"/>
      <c r="Z4" s="131"/>
      <c r="AA4" s="131"/>
      <c r="AB4" s="131"/>
      <c r="AC4" s="131"/>
      <c r="AD4" s="131"/>
      <c r="AE4" s="131"/>
      <c r="AF4" s="131"/>
    </row>
    <row r="5" spans="1:37" x14ac:dyDescent="0.75">
      <c r="A5" s="85"/>
      <c r="B5" s="65"/>
      <c r="C5" s="65"/>
      <c r="D5" s="65"/>
      <c r="E5" s="65"/>
      <c r="F5" s="65"/>
      <c r="G5" s="65"/>
      <c r="H5" s="65"/>
      <c r="N5" s="131">
        <f t="shared" ref="N5:N48" si="0">SUM(B5:M5)</f>
        <v>0</v>
      </c>
      <c r="O5" s="131"/>
      <c r="P5" s="131"/>
      <c r="Q5" s="131"/>
      <c r="R5" s="131"/>
      <c r="S5" s="131"/>
      <c r="T5" s="131"/>
      <c r="Z5" s="131"/>
      <c r="AA5" s="131"/>
      <c r="AB5" s="131"/>
      <c r="AC5" s="131"/>
      <c r="AD5" s="131"/>
      <c r="AE5" s="131"/>
      <c r="AF5" s="131"/>
    </row>
    <row r="6" spans="1:37" x14ac:dyDescent="0.75">
      <c r="A6" s="85" t="s">
        <v>228</v>
      </c>
      <c r="B6" s="65">
        <f>'P&amp;L '!I43</f>
        <v>50863.722599999994</v>
      </c>
      <c r="C6" s="65">
        <v>0</v>
      </c>
      <c r="D6" s="65">
        <v>0</v>
      </c>
      <c r="E6" s="65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f>'[1]Income statement'!C48</f>
        <v>904961.04</v>
      </c>
      <c r="M6" s="65">
        <v>0</v>
      </c>
      <c r="N6" s="131">
        <f t="shared" si="0"/>
        <v>955824.76260000002</v>
      </c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</row>
    <row r="7" spans="1:37" x14ac:dyDescent="0.75">
      <c r="A7" s="121" t="s">
        <v>229</v>
      </c>
      <c r="B7" s="65"/>
      <c r="C7" s="65"/>
      <c r="D7" s="65"/>
      <c r="E7" s="65"/>
      <c r="F7" s="65"/>
      <c r="G7" s="65"/>
      <c r="H7" s="65"/>
      <c r="N7" s="131">
        <f t="shared" si="0"/>
        <v>0</v>
      </c>
      <c r="O7" s="131"/>
      <c r="P7" s="131"/>
      <c r="Q7" s="131"/>
      <c r="R7" s="131"/>
      <c r="S7" s="131"/>
      <c r="T7" s="131"/>
      <c r="Z7" s="131"/>
      <c r="AA7" s="131"/>
      <c r="AB7" s="131"/>
      <c r="AC7" s="131"/>
      <c r="AD7" s="131"/>
      <c r="AE7" s="131"/>
      <c r="AF7" s="131"/>
    </row>
    <row r="8" spans="1:37" x14ac:dyDescent="0.75">
      <c r="A8" s="122" t="s">
        <v>230</v>
      </c>
      <c r="B8" s="65">
        <f>'P&amp;L '!I34</f>
        <v>723.375</v>
      </c>
      <c r="C8" s="65">
        <v>0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131">
        <f t="shared" si="0"/>
        <v>723.375</v>
      </c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</row>
    <row r="9" spans="1:37" x14ac:dyDescent="0.75">
      <c r="A9" s="85" t="s">
        <v>231</v>
      </c>
      <c r="B9" s="65">
        <f>SUM('P&amp;L '!I37/12)</f>
        <v>1348.4550000000002</v>
      </c>
      <c r="C9" s="65">
        <v>2688.0149999999999</v>
      </c>
      <c r="D9" s="65">
        <v>2688.0149999999999</v>
      </c>
      <c r="E9" s="65">
        <v>2688.0149999999999</v>
      </c>
      <c r="F9" s="65">
        <v>2688.0149999999999</v>
      </c>
      <c r="G9" s="65">
        <v>2688.0149999999999</v>
      </c>
      <c r="H9" s="65">
        <v>2688.0149999999999</v>
      </c>
      <c r="I9" s="65">
        <v>2688.0149999999999</v>
      </c>
      <c r="J9" s="65">
        <v>2688.0149999999999</v>
      </c>
      <c r="K9" s="65">
        <v>2688.0149999999999</v>
      </c>
      <c r="L9" s="65">
        <v>2688.0149999999999</v>
      </c>
      <c r="M9" s="65">
        <v>2688.0149999999999</v>
      </c>
      <c r="N9" s="131">
        <f t="shared" si="0"/>
        <v>30916.619999999995</v>
      </c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</row>
    <row r="10" spans="1:37" x14ac:dyDescent="0.75">
      <c r="A10" s="85" t="s">
        <v>232</v>
      </c>
      <c r="B10" s="65">
        <f>SUM('P&amp;L '!H41/12)</f>
        <v>1904.3181166666666</v>
      </c>
      <c r="C10" s="65">
        <v>3428.7124666666664</v>
      </c>
      <c r="D10" s="65">
        <v>3428.7124666666664</v>
      </c>
      <c r="E10" s="65">
        <v>3428.71246666667</v>
      </c>
      <c r="F10" s="65">
        <v>3428.71246666667</v>
      </c>
      <c r="G10" s="65">
        <v>3428.71246666667</v>
      </c>
      <c r="H10" s="65">
        <v>3428.71246666667</v>
      </c>
      <c r="I10" s="65">
        <v>3428.71246666667</v>
      </c>
      <c r="J10" s="65">
        <v>3428.71246666667</v>
      </c>
      <c r="K10" s="65">
        <v>3428.71246666667</v>
      </c>
      <c r="L10" s="65">
        <v>3428.71246666667</v>
      </c>
      <c r="M10" s="65">
        <v>3428.71246666667</v>
      </c>
      <c r="N10" s="131">
        <f t="shared" si="0"/>
        <v>39620.155250000033</v>
      </c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</row>
    <row r="11" spans="1:37" x14ac:dyDescent="0.75">
      <c r="A11" s="123" t="s">
        <v>233</v>
      </c>
      <c r="B11" s="65">
        <f>'P&amp;L '!H22</f>
        <v>875</v>
      </c>
      <c r="C11" s="65">
        <v>0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131">
        <f t="shared" si="0"/>
        <v>875</v>
      </c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</row>
    <row r="12" spans="1:37" x14ac:dyDescent="0.75">
      <c r="A12" s="123" t="s">
        <v>234</v>
      </c>
      <c r="B12" s="65">
        <f>SUM('Production purchased machines'!I37+'Production purchased machines'!I41+'Production purchased machines'!I45)</f>
        <v>699</v>
      </c>
      <c r="C12" s="65">
        <f>SUM('Production purchased machines'!I51+'Production purchased machines'!J59)</f>
        <v>699</v>
      </c>
      <c r="D12" s="65"/>
      <c r="E12" s="65"/>
      <c r="F12" s="65"/>
      <c r="G12" s="65"/>
      <c r="H12" s="65"/>
      <c r="I12" s="65"/>
      <c r="J12" s="65"/>
      <c r="K12" s="65"/>
      <c r="L12" s="65"/>
      <c r="M12" s="65">
        <f>'Production purchased machines'!F64</f>
        <v>7500</v>
      </c>
      <c r="N12" s="131">
        <f t="shared" si="0"/>
        <v>8898</v>
      </c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</row>
    <row r="13" spans="1:37" x14ac:dyDescent="0.75">
      <c r="A13" s="8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131">
        <f t="shared" si="0"/>
        <v>0</v>
      </c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</row>
    <row r="14" spans="1:37" x14ac:dyDescent="0.75">
      <c r="A14" s="8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131">
        <f t="shared" si="0"/>
        <v>0</v>
      </c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</row>
    <row r="15" spans="1:37" x14ac:dyDescent="0.75">
      <c r="A15" s="121" t="s">
        <v>235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131">
        <f t="shared" si="0"/>
        <v>0</v>
      </c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</row>
    <row r="16" spans="1:37" x14ac:dyDescent="0.75">
      <c r="A16" s="122" t="s">
        <v>236</v>
      </c>
      <c r="B16" s="65">
        <v>0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131">
        <f t="shared" si="0"/>
        <v>0</v>
      </c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</row>
    <row r="17" spans="1:37" x14ac:dyDescent="0.75">
      <c r="A17" s="122" t="s">
        <v>237</v>
      </c>
      <c r="B17" s="65">
        <v>0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131">
        <f t="shared" si="0"/>
        <v>0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</row>
    <row r="18" spans="1:37" x14ac:dyDescent="0.75">
      <c r="A18" s="122" t="s">
        <v>238</v>
      </c>
      <c r="B18" s="65">
        <v>0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131">
        <f t="shared" si="0"/>
        <v>0</v>
      </c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</row>
    <row r="19" spans="1:37" x14ac:dyDescent="0.75">
      <c r="A19" s="85"/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131">
        <f t="shared" si="0"/>
        <v>0</v>
      </c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</row>
    <row r="20" spans="1:37" ht="15.5" thickBot="1" x14ac:dyDescent="0.9">
      <c r="A20" s="124" t="s">
        <v>239</v>
      </c>
      <c r="B20" s="125">
        <f>SUM(B8:B19)</f>
        <v>5550.1481166666663</v>
      </c>
      <c r="C20" s="125">
        <f t="shared" ref="C20:M20" si="1">SUM(C5:C19)</f>
        <v>6815.7274666666663</v>
      </c>
      <c r="D20" s="125">
        <f t="shared" si="1"/>
        <v>6116.7274666666663</v>
      </c>
      <c r="E20" s="125">
        <f t="shared" si="1"/>
        <v>6116.7274666666699</v>
      </c>
      <c r="F20" s="125">
        <f t="shared" si="1"/>
        <v>6116.7274666666699</v>
      </c>
      <c r="G20" s="125">
        <f t="shared" si="1"/>
        <v>6116.7274666666699</v>
      </c>
      <c r="H20" s="125">
        <f t="shared" si="1"/>
        <v>6116.7274666666699</v>
      </c>
      <c r="I20" s="125">
        <f t="shared" si="1"/>
        <v>6116.7274666666699</v>
      </c>
      <c r="J20" s="125">
        <f t="shared" si="1"/>
        <v>6116.7274666666699</v>
      </c>
      <c r="K20" s="125">
        <f t="shared" si="1"/>
        <v>6116.7274666666699</v>
      </c>
      <c r="L20" s="125">
        <f t="shared" si="1"/>
        <v>911077.76746666676</v>
      </c>
      <c r="M20" s="125">
        <f t="shared" si="1"/>
        <v>13616.727466666671</v>
      </c>
      <c r="N20" s="131">
        <f t="shared" si="0"/>
        <v>985994.19025000022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</row>
    <row r="21" spans="1:37" x14ac:dyDescent="0.75">
      <c r="A21" s="85"/>
      <c r="B21" s="65"/>
      <c r="C21" s="65"/>
      <c r="D21" s="65"/>
      <c r="E21" s="65"/>
      <c r="F21" s="65"/>
      <c r="G21" s="65"/>
      <c r="H21" s="65"/>
      <c r="N21" s="131">
        <f t="shared" si="0"/>
        <v>0</v>
      </c>
      <c r="O21" s="131"/>
      <c r="P21" s="131"/>
      <c r="Q21" s="131"/>
      <c r="R21" s="131"/>
      <c r="S21" s="131"/>
      <c r="T21" s="131"/>
      <c r="Z21" s="131"/>
      <c r="AA21" s="131"/>
      <c r="AB21" s="131"/>
      <c r="AC21" s="131"/>
      <c r="AD21" s="131"/>
      <c r="AE21" s="131"/>
      <c r="AF21" s="131"/>
    </row>
    <row r="22" spans="1:37" x14ac:dyDescent="0.75">
      <c r="A22" s="120" t="s">
        <v>240</v>
      </c>
      <c r="B22" s="65"/>
      <c r="C22" s="65"/>
      <c r="D22" s="65"/>
      <c r="E22" s="65"/>
      <c r="F22" s="65"/>
      <c r="G22" s="65"/>
      <c r="H22" s="65"/>
      <c r="N22" s="131">
        <f t="shared" si="0"/>
        <v>0</v>
      </c>
      <c r="O22" s="131"/>
      <c r="P22" s="131"/>
      <c r="Q22" s="131"/>
      <c r="R22" s="131"/>
      <c r="S22" s="131"/>
      <c r="T22" s="131"/>
      <c r="Z22" s="131"/>
      <c r="AA22" s="131"/>
      <c r="AB22" s="131"/>
      <c r="AC22" s="131"/>
      <c r="AD22" s="131"/>
      <c r="AE22" s="131"/>
      <c r="AF22" s="131"/>
    </row>
    <row r="23" spans="1:37" x14ac:dyDescent="0.75">
      <c r="A23" s="126" t="s">
        <v>241</v>
      </c>
      <c r="B23" s="65">
        <f>SUM('Production purchased machines'!D77/12)</f>
        <v>2083.3333333333335</v>
      </c>
      <c r="C23" s="65">
        <v>2083.3333333333335</v>
      </c>
      <c r="D23" s="65">
        <v>2083.3333333333335</v>
      </c>
      <c r="E23" s="65">
        <v>2083.3333333333335</v>
      </c>
      <c r="F23" s="65">
        <v>2083.3333333333335</v>
      </c>
      <c r="G23" s="65">
        <v>2083.3333333333335</v>
      </c>
      <c r="H23" s="65">
        <v>2083.3333333333335</v>
      </c>
      <c r="I23" s="65">
        <v>2083.3333333333335</v>
      </c>
      <c r="J23" s="65">
        <v>2083.3333333333335</v>
      </c>
      <c r="K23" s="65">
        <v>2083.3333333333335</v>
      </c>
      <c r="L23" s="65">
        <v>2083.3333333333335</v>
      </c>
      <c r="M23" s="65">
        <v>2083.3333333333335</v>
      </c>
      <c r="N23" s="131">
        <f t="shared" si="0"/>
        <v>24999.999999999996</v>
      </c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</row>
    <row r="24" spans="1:37" x14ac:dyDescent="0.75">
      <c r="A24" s="126" t="s">
        <v>242</v>
      </c>
      <c r="B24" s="65">
        <f>'[1]Income statement'!B10/12</f>
        <v>833.33333333333337</v>
      </c>
      <c r="C24" s="65">
        <v>5000</v>
      </c>
      <c r="D24" s="65">
        <v>5000</v>
      </c>
      <c r="E24" s="65">
        <v>5000</v>
      </c>
      <c r="F24" s="65">
        <v>5000</v>
      </c>
      <c r="G24" s="65">
        <v>5000</v>
      </c>
      <c r="H24" s="65">
        <v>5000</v>
      </c>
      <c r="I24" s="65">
        <v>5000</v>
      </c>
      <c r="J24" s="65">
        <v>5000</v>
      </c>
      <c r="K24" s="65">
        <v>5000</v>
      </c>
      <c r="L24" s="65">
        <v>5000</v>
      </c>
      <c r="M24" s="65">
        <v>5000</v>
      </c>
      <c r="N24" s="131">
        <f t="shared" si="0"/>
        <v>55833.333333333328</v>
      </c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</row>
    <row r="25" spans="1:37" x14ac:dyDescent="0.75">
      <c r="A25" s="126" t="s">
        <v>315</v>
      </c>
      <c r="B25" s="65">
        <f>'Production purchased machines'!I15+'Production purchased machines'!I16+'Production purchased machines'!I17+'Production purchased machines'!I18</f>
        <v>94000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131">
        <f t="shared" si="0"/>
        <v>94000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:37" x14ac:dyDescent="0.75">
      <c r="A26" s="126" t="s">
        <v>244</v>
      </c>
      <c r="B26" s="65">
        <f>'[1]Income statement'!B11/12</f>
        <v>0</v>
      </c>
      <c r="C26" s="65">
        <v>8666.17</v>
      </c>
      <c r="D26" s="65">
        <v>8666.17</v>
      </c>
      <c r="E26" s="65">
        <v>8666.17</v>
      </c>
      <c r="F26" s="65">
        <v>8666.17</v>
      </c>
      <c r="G26" s="65">
        <v>8666.17</v>
      </c>
      <c r="H26" s="65">
        <v>8666.17</v>
      </c>
      <c r="I26" s="65">
        <v>8666.17</v>
      </c>
      <c r="J26" s="65">
        <v>8666.17</v>
      </c>
      <c r="K26" s="65">
        <v>8666.17</v>
      </c>
      <c r="L26" s="65">
        <v>8666.17</v>
      </c>
      <c r="M26" s="65">
        <v>8666.17</v>
      </c>
      <c r="N26" s="131">
        <f t="shared" si="0"/>
        <v>95327.87</v>
      </c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:37" x14ac:dyDescent="0.75">
      <c r="A27" s="126"/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131">
        <f t="shared" si="0"/>
        <v>0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:37" x14ac:dyDescent="0.75">
      <c r="A28" s="126"/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131">
        <f t="shared" si="0"/>
        <v>0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  <row r="29" spans="1:37" x14ac:dyDescent="0.75">
      <c r="A29" s="85"/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131">
        <f t="shared" si="0"/>
        <v>0</v>
      </c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</row>
    <row r="30" spans="1:37" x14ac:dyDescent="0.75">
      <c r="A30" s="77" t="s">
        <v>247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131">
        <f t="shared" si="0"/>
        <v>0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</row>
    <row r="31" spans="1:37" x14ac:dyDescent="0.75">
      <c r="A31" s="85"/>
      <c r="B31" s="65">
        <v>0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131">
        <f t="shared" si="0"/>
        <v>0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</row>
    <row r="32" spans="1:37" ht="15.5" thickBot="1" x14ac:dyDescent="0.9">
      <c r="A32" s="124" t="s">
        <v>248</v>
      </c>
      <c r="B32" s="125">
        <f>SUM(B23:B31)</f>
        <v>96916.666666666672</v>
      </c>
      <c r="C32" s="125">
        <f t="shared" ref="C32:M32" si="2">SUM(C23:C31)</f>
        <v>15749.503333333334</v>
      </c>
      <c r="D32" s="125">
        <f t="shared" si="2"/>
        <v>15749.503333333334</v>
      </c>
      <c r="E32" s="125">
        <f t="shared" si="2"/>
        <v>15749.503333333334</v>
      </c>
      <c r="F32" s="125">
        <f t="shared" si="2"/>
        <v>15749.503333333334</v>
      </c>
      <c r="G32" s="125">
        <f t="shared" si="2"/>
        <v>15749.503333333334</v>
      </c>
      <c r="H32" s="125">
        <f t="shared" si="2"/>
        <v>15749.503333333334</v>
      </c>
      <c r="I32" s="125">
        <f>SUM(I23:I31)</f>
        <v>15749.503333333334</v>
      </c>
      <c r="J32" s="125">
        <f t="shared" si="2"/>
        <v>15749.503333333334</v>
      </c>
      <c r="K32" s="125">
        <f t="shared" si="2"/>
        <v>15749.503333333334</v>
      </c>
      <c r="L32" s="125">
        <f>SUM(L23:L31)</f>
        <v>15749.503333333334</v>
      </c>
      <c r="M32" s="125">
        <f t="shared" si="2"/>
        <v>15749.503333333334</v>
      </c>
      <c r="N32" s="131">
        <f t="shared" si="0"/>
        <v>270161.20333333331</v>
      </c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</row>
    <row r="33" spans="1:39" x14ac:dyDescent="0.75">
      <c r="A33" s="85"/>
      <c r="B33" s="65"/>
      <c r="C33" s="65"/>
      <c r="D33" s="65"/>
      <c r="E33" s="65"/>
      <c r="F33" s="65"/>
      <c r="G33" s="65"/>
      <c r="H33" s="65"/>
      <c r="N33" s="131">
        <f t="shared" si="0"/>
        <v>0</v>
      </c>
      <c r="O33" s="131"/>
      <c r="P33" s="131"/>
      <c r="Q33" s="131"/>
      <c r="R33" s="131"/>
      <c r="S33" s="131"/>
      <c r="T33" s="131"/>
      <c r="Z33" s="131"/>
      <c r="AA33" s="131"/>
      <c r="AB33" s="131"/>
      <c r="AC33" s="131"/>
      <c r="AD33" s="131"/>
      <c r="AE33" s="131"/>
      <c r="AF33" s="131"/>
    </row>
    <row r="34" spans="1:39" x14ac:dyDescent="0.75">
      <c r="A34" s="120" t="s">
        <v>249</v>
      </c>
      <c r="B34" s="65"/>
      <c r="C34" s="65"/>
      <c r="D34" s="65"/>
      <c r="E34" s="65"/>
      <c r="F34" s="65"/>
      <c r="G34" s="65"/>
      <c r="H34" s="65"/>
      <c r="N34" s="131">
        <f t="shared" si="0"/>
        <v>0</v>
      </c>
      <c r="O34" s="131"/>
      <c r="P34" s="131"/>
      <c r="Q34" s="131"/>
      <c r="R34" s="131"/>
      <c r="S34" s="131"/>
      <c r="T34" s="131"/>
      <c r="Z34" s="131"/>
      <c r="AA34" s="131"/>
      <c r="AB34" s="131"/>
      <c r="AC34" s="131"/>
      <c r="AD34" s="131"/>
      <c r="AE34" s="131"/>
      <c r="AF34" s="131"/>
    </row>
    <row r="35" spans="1:39" x14ac:dyDescent="0.75">
      <c r="A35" s="85"/>
      <c r="B35" s="65">
        <v>0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131">
        <f t="shared" si="0"/>
        <v>0</v>
      </c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</row>
    <row r="36" spans="1:39" x14ac:dyDescent="0.75">
      <c r="A36" s="85" t="s">
        <v>250</v>
      </c>
      <c r="B36" s="65">
        <v>0</v>
      </c>
      <c r="C36" s="65">
        <v>0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5">
        <v>0</v>
      </c>
      <c r="N36" s="131">
        <f t="shared" si="0"/>
        <v>0</v>
      </c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</row>
    <row r="37" spans="1:39" x14ac:dyDescent="0.75">
      <c r="A37" s="85" t="s">
        <v>251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131">
        <f t="shared" si="0"/>
        <v>0</v>
      </c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</row>
    <row r="38" spans="1:39" x14ac:dyDescent="0.75">
      <c r="A38" s="85" t="s">
        <v>252</v>
      </c>
      <c r="B38" s="65">
        <v>0</v>
      </c>
      <c r="C38" s="65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131">
        <f t="shared" si="0"/>
        <v>0</v>
      </c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</row>
    <row r="39" spans="1:39" x14ac:dyDescent="0.75">
      <c r="A39" s="85" t="s">
        <v>253</v>
      </c>
      <c r="B39" s="65">
        <v>0</v>
      </c>
      <c r="C39" s="65">
        <v>0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131">
        <f t="shared" si="0"/>
        <v>0</v>
      </c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</row>
    <row r="40" spans="1:39" x14ac:dyDescent="0.75">
      <c r="A40" s="127" t="s">
        <v>254</v>
      </c>
      <c r="B40" s="65">
        <v>0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131">
        <f t="shared" si="0"/>
        <v>0</v>
      </c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</row>
    <row r="41" spans="1:39" x14ac:dyDescent="0.75">
      <c r="A41" s="85"/>
      <c r="B41" s="65">
        <v>0</v>
      </c>
      <c r="C41" s="65">
        <v>0</v>
      </c>
      <c r="D41" s="65">
        <v>0</v>
      </c>
      <c r="E41" s="65">
        <v>0</v>
      </c>
      <c r="F41" s="65">
        <v>0</v>
      </c>
      <c r="G41" s="65">
        <v>0</v>
      </c>
      <c r="H41" s="65">
        <v>0</v>
      </c>
      <c r="I41" s="65">
        <v>0</v>
      </c>
      <c r="J41" s="65">
        <v>0</v>
      </c>
      <c r="K41" s="65">
        <v>0</v>
      </c>
      <c r="L41" s="65">
        <v>0</v>
      </c>
      <c r="M41" s="65">
        <v>0</v>
      </c>
      <c r="N41" s="131">
        <f t="shared" si="0"/>
        <v>0</v>
      </c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</row>
    <row r="42" spans="1:39" ht="15.5" thickBot="1" x14ac:dyDescent="0.9">
      <c r="A42" s="124" t="s">
        <v>255</v>
      </c>
      <c r="B42" s="128">
        <f>SUM(B35:B41)</f>
        <v>0</v>
      </c>
      <c r="C42" s="128">
        <f t="shared" ref="C42:M42" si="3">SUM(C35:C41)</f>
        <v>0</v>
      </c>
      <c r="D42" s="128">
        <f t="shared" si="3"/>
        <v>0</v>
      </c>
      <c r="E42" s="128">
        <f t="shared" si="3"/>
        <v>0</v>
      </c>
      <c r="F42" s="128">
        <f t="shared" si="3"/>
        <v>0</v>
      </c>
      <c r="G42" s="128">
        <f t="shared" si="3"/>
        <v>0</v>
      </c>
      <c r="H42" s="128">
        <f t="shared" si="3"/>
        <v>0</v>
      </c>
      <c r="I42" s="128">
        <f t="shared" si="3"/>
        <v>0</v>
      </c>
      <c r="J42" s="128">
        <f t="shared" si="3"/>
        <v>0</v>
      </c>
      <c r="K42" s="128">
        <f t="shared" si="3"/>
        <v>0</v>
      </c>
      <c r="L42" s="128">
        <f t="shared" si="3"/>
        <v>0</v>
      </c>
      <c r="M42" s="128">
        <f t="shared" si="3"/>
        <v>0</v>
      </c>
      <c r="N42" s="131">
        <f t="shared" si="0"/>
        <v>0</v>
      </c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 spans="1:39" x14ac:dyDescent="0.75">
      <c r="A43" s="85"/>
      <c r="B43" s="65"/>
      <c r="D43" s="65"/>
      <c r="E43" s="65"/>
      <c r="F43" s="65"/>
      <c r="G43" s="65"/>
      <c r="H43" s="65"/>
      <c r="N43" s="131">
        <f t="shared" si="0"/>
        <v>0</v>
      </c>
      <c r="O43" s="131"/>
      <c r="P43" s="131"/>
      <c r="Q43" s="131"/>
      <c r="R43" s="131"/>
      <c r="S43" s="131"/>
      <c r="T43" s="131"/>
      <c r="Z43" s="131"/>
      <c r="AA43" s="131"/>
      <c r="AB43" s="131"/>
      <c r="AC43" s="131"/>
      <c r="AD43" s="131"/>
      <c r="AE43" s="131"/>
      <c r="AF43" s="131"/>
    </row>
    <row r="44" spans="1:39" x14ac:dyDescent="0.75">
      <c r="A44" s="85"/>
      <c r="B44" s="65"/>
      <c r="C44" s="65"/>
      <c r="D44" s="65"/>
      <c r="E44" s="65"/>
      <c r="F44" s="65"/>
      <c r="G44" s="65"/>
      <c r="H44" s="65"/>
      <c r="N44" s="131">
        <f t="shared" si="0"/>
        <v>0</v>
      </c>
      <c r="O44" s="131"/>
      <c r="P44" s="131"/>
      <c r="Q44" s="131"/>
      <c r="R44" s="131"/>
      <c r="S44" s="131"/>
      <c r="T44" s="131"/>
      <c r="Z44" s="131"/>
      <c r="AA44" s="131"/>
      <c r="AB44" s="131"/>
      <c r="AC44" s="131"/>
      <c r="AD44" s="131"/>
      <c r="AE44" s="131"/>
      <c r="AF44" s="131"/>
    </row>
    <row r="45" spans="1:39" ht="15.5" thickBot="1" x14ac:dyDescent="0.9">
      <c r="A45" s="124" t="s">
        <v>256</v>
      </c>
      <c r="B45" s="125">
        <f>SUM(B20+B32+B42-B6)</f>
        <v>51603.092183333341</v>
      </c>
      <c r="C45" s="125">
        <f t="shared" ref="C45:M45" si="4">SUM(C20+C32-C42)</f>
        <v>22565.230800000001</v>
      </c>
      <c r="D45" s="125">
        <f t="shared" si="4"/>
        <v>21866.230800000001</v>
      </c>
      <c r="E45" s="125">
        <f t="shared" si="4"/>
        <v>21866.230800000005</v>
      </c>
      <c r="F45" s="125">
        <f t="shared" si="4"/>
        <v>21866.230800000005</v>
      </c>
      <c r="G45" s="125">
        <f t="shared" si="4"/>
        <v>21866.230800000005</v>
      </c>
      <c r="H45" s="125">
        <f t="shared" si="4"/>
        <v>21866.230800000005</v>
      </c>
      <c r="I45" s="125">
        <f t="shared" si="4"/>
        <v>21866.230800000005</v>
      </c>
      <c r="J45" s="125">
        <f t="shared" si="4"/>
        <v>21866.230800000005</v>
      </c>
      <c r="K45" s="125">
        <f t="shared" si="4"/>
        <v>21866.230800000005</v>
      </c>
      <c r="L45" s="125">
        <f t="shared" si="4"/>
        <v>926827.27080000006</v>
      </c>
      <c r="M45" s="125">
        <f t="shared" si="4"/>
        <v>29366.230800000005</v>
      </c>
      <c r="N45" s="131">
        <f t="shared" si="0"/>
        <v>1205291.6709833336</v>
      </c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</row>
    <row r="46" spans="1:39" x14ac:dyDescent="0.75">
      <c r="A46" s="8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131">
        <f t="shared" si="0"/>
        <v>0</v>
      </c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</row>
    <row r="47" spans="1:39" x14ac:dyDescent="0.75">
      <c r="A47" s="85" t="s">
        <v>257</v>
      </c>
      <c r="B47" s="65">
        <f>B6</f>
        <v>50863.722599999994</v>
      </c>
      <c r="C47" s="65">
        <f>B48</f>
        <v>-739.36958333334769</v>
      </c>
      <c r="D47" s="65">
        <f>C48</f>
        <v>-23304.600383333349</v>
      </c>
      <c r="E47" s="65">
        <f>D48</f>
        <v>-45170.83118333335</v>
      </c>
      <c r="F47" s="65">
        <f>E48</f>
        <v>-67037.061983333348</v>
      </c>
      <c r="G47" s="65">
        <f t="shared" ref="G47:M47" si="5">F48</f>
        <v>-88903.292783333352</v>
      </c>
      <c r="H47" s="65">
        <f t="shared" si="5"/>
        <v>-110769.52358333336</v>
      </c>
      <c r="I47" s="65">
        <f t="shared" si="5"/>
        <v>-132635.75438333338</v>
      </c>
      <c r="J47" s="65">
        <f t="shared" si="5"/>
        <v>-154501.9851833334</v>
      </c>
      <c r="K47" s="65">
        <f t="shared" si="5"/>
        <v>-176368.21598333342</v>
      </c>
      <c r="L47" s="65">
        <f t="shared" si="5"/>
        <v>-198234.44678333343</v>
      </c>
      <c r="M47" s="65">
        <f t="shared" si="5"/>
        <v>-1125061.7175833336</v>
      </c>
      <c r="N47" s="131">
        <f t="shared" si="0"/>
        <v>-2071863.0768166673</v>
      </c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</row>
    <row r="48" spans="1:39" ht="15.5" thickBot="1" x14ac:dyDescent="0.9">
      <c r="A48" s="129" t="s">
        <v>258</v>
      </c>
      <c r="B48" s="130">
        <f>B47-B45</f>
        <v>-739.36958333334769</v>
      </c>
      <c r="C48" s="130">
        <f t="shared" ref="C48:M48" si="6">C47-C45</f>
        <v>-23304.600383333349</v>
      </c>
      <c r="D48" s="130">
        <f t="shared" si="6"/>
        <v>-45170.83118333335</v>
      </c>
      <c r="E48" s="130">
        <f t="shared" si="6"/>
        <v>-67037.061983333348</v>
      </c>
      <c r="F48" s="130">
        <f t="shared" si="6"/>
        <v>-88903.292783333352</v>
      </c>
      <c r="G48" s="130">
        <f t="shared" si="6"/>
        <v>-110769.52358333336</v>
      </c>
      <c r="H48" s="130">
        <f t="shared" si="6"/>
        <v>-132635.75438333338</v>
      </c>
      <c r="I48" s="130">
        <f t="shared" si="6"/>
        <v>-154501.9851833334</v>
      </c>
      <c r="J48" s="130">
        <f t="shared" si="6"/>
        <v>-176368.21598333342</v>
      </c>
      <c r="K48" s="130">
        <f t="shared" si="6"/>
        <v>-198234.44678333343</v>
      </c>
      <c r="L48" s="130">
        <f t="shared" si="6"/>
        <v>-1125061.7175833336</v>
      </c>
      <c r="M48" s="130">
        <f t="shared" si="6"/>
        <v>-1154427.9483833336</v>
      </c>
      <c r="N48" s="131">
        <f t="shared" si="0"/>
        <v>-3277154.7478000009</v>
      </c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spans="1:8" ht="15.5" thickTop="1" x14ac:dyDescent="0.75">
      <c r="A49" s="85"/>
      <c r="B49" s="65"/>
      <c r="C49" s="65"/>
      <c r="D49" s="65"/>
      <c r="E49" s="65"/>
      <c r="F49" s="65"/>
      <c r="G49" s="65"/>
      <c r="H49" s="65"/>
    </row>
    <row r="50" spans="1:8" x14ac:dyDescent="0.75">
      <c r="A50" s="85"/>
      <c r="B50" s="65"/>
      <c r="C50" s="65"/>
      <c r="D50" s="65"/>
      <c r="E50" s="65"/>
      <c r="F50" s="65"/>
      <c r="G50" s="65"/>
      <c r="H50" s="65"/>
    </row>
    <row r="51" spans="1:8" x14ac:dyDescent="0.75">
      <c r="A51" s="85" t="s">
        <v>259</v>
      </c>
      <c r="B51" s="65"/>
      <c r="C51" s="65"/>
      <c r="D51" s="65"/>
      <c r="E51" s="65"/>
      <c r="F51" s="65"/>
      <c r="G51" s="65"/>
      <c r="H51" s="65"/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C45F-2FE6-4169-BD6F-44E5542EAA00}">
  <dimension ref="A1:AM53"/>
  <sheetViews>
    <sheetView workbookViewId="0">
      <selection activeCell="D56" sqref="D56"/>
    </sheetView>
  </sheetViews>
  <sheetFormatPr defaultRowHeight="14.75" x14ac:dyDescent="0.75"/>
  <cols>
    <col min="1" max="1" width="40.6328125" bestFit="1" customWidth="1"/>
    <col min="2" max="3" width="11.7265625" bestFit="1" customWidth="1"/>
    <col min="4" max="11" width="12.7265625" bestFit="1" customWidth="1"/>
    <col min="12" max="13" width="14.26953125" bestFit="1" customWidth="1"/>
    <col min="14" max="25" width="11.453125" bestFit="1" customWidth="1"/>
    <col min="26" max="26" width="9.7265625" customWidth="1"/>
  </cols>
  <sheetData>
    <row r="1" spans="1:37" x14ac:dyDescent="0.75">
      <c r="A1" s="85"/>
    </row>
    <row r="2" spans="1:37" x14ac:dyDescent="0.75">
      <c r="A2" s="120" t="s">
        <v>221</v>
      </c>
      <c r="C2" t="s">
        <v>222</v>
      </c>
      <c r="F2" t="s">
        <v>223</v>
      </c>
      <c r="I2" t="s">
        <v>224</v>
      </c>
      <c r="L2" t="s">
        <v>225</v>
      </c>
    </row>
    <row r="3" spans="1:37" x14ac:dyDescent="0.75">
      <c r="A3" s="77" t="s">
        <v>267</v>
      </c>
      <c r="B3" s="77" t="s">
        <v>226</v>
      </c>
      <c r="C3" s="77" t="s">
        <v>150</v>
      </c>
      <c r="D3" s="77" t="s">
        <v>151</v>
      </c>
      <c r="E3" s="77" t="s">
        <v>152</v>
      </c>
      <c r="F3" s="77" t="s">
        <v>153</v>
      </c>
      <c r="G3" s="77" t="s">
        <v>154</v>
      </c>
      <c r="H3" s="77" t="s">
        <v>155</v>
      </c>
      <c r="I3" s="77" t="s">
        <v>156</v>
      </c>
      <c r="J3" s="77" t="s">
        <v>157</v>
      </c>
      <c r="K3" s="77" t="s">
        <v>158</v>
      </c>
      <c r="L3" s="77" t="s">
        <v>159</v>
      </c>
      <c r="M3" s="77" t="s">
        <v>160</v>
      </c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</row>
    <row r="4" spans="1:37" x14ac:dyDescent="0.75">
      <c r="A4" s="120" t="s">
        <v>227</v>
      </c>
      <c r="B4" s="65"/>
      <c r="C4" s="65"/>
      <c r="D4" s="65"/>
      <c r="E4" s="65"/>
      <c r="F4" s="65"/>
      <c r="G4" s="65"/>
      <c r="H4" s="65"/>
      <c r="N4" s="131"/>
      <c r="O4" s="131"/>
      <c r="P4" s="131"/>
      <c r="Q4" s="131"/>
      <c r="R4" s="131"/>
      <c r="S4" s="131"/>
      <c r="T4" s="131"/>
      <c r="Z4" s="131"/>
      <c r="AA4" s="131"/>
      <c r="AB4" s="131"/>
      <c r="AC4" s="131"/>
      <c r="AD4" s="131"/>
      <c r="AE4" s="131"/>
      <c r="AF4" s="131"/>
    </row>
    <row r="5" spans="1:37" x14ac:dyDescent="0.75">
      <c r="A5" s="85"/>
      <c r="B5" s="65"/>
      <c r="C5" s="65"/>
      <c r="D5" s="65"/>
      <c r="E5" s="65"/>
      <c r="F5" s="65"/>
      <c r="G5" s="65"/>
      <c r="H5" s="65"/>
      <c r="N5" s="131"/>
      <c r="O5" s="131"/>
      <c r="P5" s="131"/>
      <c r="Q5" s="131"/>
      <c r="R5" s="131"/>
      <c r="S5" s="131"/>
      <c r="T5" s="131"/>
      <c r="Z5" s="131"/>
      <c r="AA5" s="131"/>
      <c r="AB5" s="131"/>
      <c r="AC5" s="131"/>
      <c r="AD5" s="131"/>
      <c r="AE5" s="131"/>
      <c r="AF5" s="131"/>
    </row>
    <row r="6" spans="1:37" x14ac:dyDescent="0.75">
      <c r="A6" s="85" t="s">
        <v>228</v>
      </c>
      <c r="B6" s="65">
        <f>'Balance sheet'!F16</f>
        <v>0</v>
      </c>
      <c r="C6" s="65">
        <v>0</v>
      </c>
      <c r="D6" s="65">
        <v>0</v>
      </c>
      <c r="E6" s="65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f>'[1]Income statement'!C48</f>
        <v>904961.04</v>
      </c>
      <c r="M6" s="65">
        <v>0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</row>
    <row r="7" spans="1:37" x14ac:dyDescent="0.75">
      <c r="A7" s="121" t="s">
        <v>229</v>
      </c>
      <c r="B7" s="65"/>
      <c r="C7" s="65"/>
      <c r="D7" s="65"/>
      <c r="E7" s="65"/>
      <c r="F7" s="65"/>
      <c r="G7" s="65"/>
      <c r="H7" s="65"/>
      <c r="N7" s="131"/>
      <c r="O7" s="131"/>
      <c r="P7" s="131"/>
      <c r="Q7" s="131"/>
      <c r="R7" s="131"/>
      <c r="S7" s="131"/>
      <c r="T7" s="131"/>
      <c r="Z7" s="131"/>
      <c r="AA7" s="131"/>
      <c r="AB7" s="131"/>
      <c r="AC7" s="131"/>
      <c r="AD7" s="131"/>
      <c r="AE7" s="131"/>
      <c r="AF7" s="131"/>
    </row>
    <row r="8" spans="1:37" x14ac:dyDescent="0.75">
      <c r="A8" s="122" t="s">
        <v>230</v>
      </c>
      <c r="B8" s="65"/>
      <c r="C8" s="65">
        <v>0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</row>
    <row r="9" spans="1:37" x14ac:dyDescent="0.75">
      <c r="A9" s="85" t="s">
        <v>231</v>
      </c>
      <c r="B9" s="65">
        <v>0</v>
      </c>
      <c r="C9" s="65">
        <v>0</v>
      </c>
      <c r="D9" s="65">
        <v>0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</row>
    <row r="10" spans="1:37" x14ac:dyDescent="0.75">
      <c r="A10" s="85" t="s">
        <v>232</v>
      </c>
      <c r="B10" s="65">
        <f>SUM('[1]Income statement'!B46/12)</f>
        <v>29327.441111111108</v>
      </c>
      <c r="C10" s="65">
        <v>22433.27</v>
      </c>
      <c r="D10" s="65">
        <v>22433.27</v>
      </c>
      <c r="E10" s="65">
        <v>22433.27</v>
      </c>
      <c r="F10" s="65">
        <v>22433.27</v>
      </c>
      <c r="G10" s="65">
        <v>22433.27</v>
      </c>
      <c r="H10" s="65">
        <v>22433.27</v>
      </c>
      <c r="I10" s="65">
        <v>22433.27</v>
      </c>
      <c r="J10" s="65">
        <v>22433.27</v>
      </c>
      <c r="K10" s="65">
        <v>22433.27</v>
      </c>
      <c r="L10" s="65">
        <v>22433.27</v>
      </c>
      <c r="M10" s="65">
        <v>22433.27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</row>
    <row r="11" spans="1:37" x14ac:dyDescent="0.75">
      <c r="A11" s="123" t="s">
        <v>233</v>
      </c>
      <c r="B11" s="65">
        <f>'[1]Income statement'!B12</f>
        <v>105</v>
      </c>
      <c r="C11" s="65">
        <v>0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</row>
    <row r="12" spans="1:37" x14ac:dyDescent="0.75">
      <c r="A12" s="123" t="s">
        <v>234</v>
      </c>
      <c r="B12" s="65">
        <f>'[1]Income statement'!B25</f>
        <v>16254.666666666664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</row>
    <row r="13" spans="1:37" x14ac:dyDescent="0.75">
      <c r="A13" s="8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</row>
    <row r="14" spans="1:37" x14ac:dyDescent="0.75">
      <c r="A14" s="8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</row>
    <row r="15" spans="1:37" x14ac:dyDescent="0.75">
      <c r="A15" s="121" t="s">
        <v>235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</row>
    <row r="16" spans="1:37" x14ac:dyDescent="0.75">
      <c r="A16" s="122" t="s">
        <v>236</v>
      </c>
      <c r="B16" s="65">
        <v>0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</row>
    <row r="17" spans="1:37" x14ac:dyDescent="0.75">
      <c r="A17" s="122" t="s">
        <v>237</v>
      </c>
      <c r="B17" s="65">
        <v>0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</row>
    <row r="18" spans="1:37" x14ac:dyDescent="0.75">
      <c r="A18" s="122" t="s">
        <v>238</v>
      </c>
      <c r="B18" s="65">
        <v>0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</row>
    <row r="19" spans="1:37" x14ac:dyDescent="0.75">
      <c r="A19" s="85"/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</row>
    <row r="20" spans="1:37" ht="15.5" thickBot="1" x14ac:dyDescent="0.9">
      <c r="A20" s="124" t="s">
        <v>239</v>
      </c>
      <c r="B20" s="125">
        <f>SUM(B5:B19)</f>
        <v>45687.107777777768</v>
      </c>
      <c r="C20" s="125">
        <f t="shared" ref="C20:M20" si="0">SUM(C5:C19)</f>
        <v>22433.27</v>
      </c>
      <c r="D20" s="125">
        <f t="shared" si="0"/>
        <v>22433.27</v>
      </c>
      <c r="E20" s="125">
        <f t="shared" si="0"/>
        <v>22433.27</v>
      </c>
      <c r="F20" s="125">
        <f t="shared" si="0"/>
        <v>22433.27</v>
      </c>
      <c r="G20" s="125">
        <f t="shared" si="0"/>
        <v>22433.27</v>
      </c>
      <c r="H20" s="125">
        <f t="shared" si="0"/>
        <v>22433.27</v>
      </c>
      <c r="I20" s="125">
        <f t="shared" si="0"/>
        <v>22433.27</v>
      </c>
      <c r="J20" s="125">
        <f t="shared" si="0"/>
        <v>22433.27</v>
      </c>
      <c r="K20" s="125">
        <f t="shared" si="0"/>
        <v>22433.27</v>
      </c>
      <c r="L20" s="125">
        <f t="shared" si="0"/>
        <v>927394.31</v>
      </c>
      <c r="M20" s="125">
        <f t="shared" si="0"/>
        <v>22433.27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</row>
    <row r="21" spans="1:37" x14ac:dyDescent="0.75">
      <c r="A21" s="85"/>
      <c r="B21" s="65"/>
      <c r="C21" s="65"/>
      <c r="D21" s="65"/>
      <c r="E21" s="65"/>
      <c r="F21" s="65"/>
      <c r="G21" s="65"/>
      <c r="H21" s="65"/>
      <c r="N21" s="131"/>
      <c r="O21" s="131"/>
      <c r="P21" s="131"/>
      <c r="Q21" s="131"/>
      <c r="R21" s="131"/>
      <c r="S21" s="131"/>
      <c r="T21" s="131"/>
      <c r="Z21" s="131"/>
      <c r="AA21" s="131"/>
      <c r="AB21" s="131"/>
      <c r="AC21" s="131"/>
      <c r="AD21" s="131"/>
      <c r="AE21" s="131"/>
      <c r="AF21" s="131"/>
    </row>
    <row r="22" spans="1:37" x14ac:dyDescent="0.75">
      <c r="A22" s="120" t="s">
        <v>240</v>
      </c>
      <c r="B22" s="65"/>
      <c r="C22" s="65"/>
      <c r="D22" s="65"/>
      <c r="E22" s="65"/>
      <c r="F22" s="65"/>
      <c r="G22" s="65"/>
      <c r="H22" s="65"/>
      <c r="N22" s="131"/>
      <c r="O22" s="131"/>
      <c r="P22" s="131"/>
      <c r="Q22" s="131"/>
      <c r="R22" s="131"/>
      <c r="S22" s="131"/>
      <c r="T22" s="131"/>
      <c r="Z22" s="131"/>
      <c r="AA22" s="131"/>
      <c r="AB22" s="131"/>
      <c r="AC22" s="131"/>
      <c r="AD22" s="131"/>
      <c r="AE22" s="131"/>
      <c r="AF22" s="131"/>
    </row>
    <row r="23" spans="1:37" x14ac:dyDescent="0.75">
      <c r="A23" s="126" t="s">
        <v>241</v>
      </c>
      <c r="B23" s="65">
        <f>SUM('[1]Tab 1-Root production '!N39/12)</f>
        <v>62.5</v>
      </c>
      <c r="C23" s="65">
        <v>12500</v>
      </c>
      <c r="D23" s="65">
        <v>12500</v>
      </c>
      <c r="E23" s="65">
        <v>12500</v>
      </c>
      <c r="F23" s="65">
        <v>12500</v>
      </c>
      <c r="G23" s="65">
        <v>12500</v>
      </c>
      <c r="H23" s="65">
        <v>12500</v>
      </c>
      <c r="I23" s="65">
        <v>12500</v>
      </c>
      <c r="J23" s="65">
        <v>12500</v>
      </c>
      <c r="K23" s="65">
        <v>12500</v>
      </c>
      <c r="L23" s="65">
        <v>12500</v>
      </c>
      <c r="M23" s="65">
        <v>12500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</row>
    <row r="24" spans="1:37" x14ac:dyDescent="0.75">
      <c r="A24" s="126" t="s">
        <v>242</v>
      </c>
      <c r="B24" s="65">
        <f>'[1]Income statement'!B10/12</f>
        <v>833.33333333333337</v>
      </c>
      <c r="C24" s="65">
        <v>5000</v>
      </c>
      <c r="D24" s="65">
        <v>5000</v>
      </c>
      <c r="E24" s="65">
        <v>5000</v>
      </c>
      <c r="F24" s="65">
        <v>5000</v>
      </c>
      <c r="G24" s="65">
        <v>5000</v>
      </c>
      <c r="H24" s="65">
        <v>5000</v>
      </c>
      <c r="I24" s="65">
        <v>5000</v>
      </c>
      <c r="J24" s="65">
        <v>5000</v>
      </c>
      <c r="K24" s="65">
        <v>5000</v>
      </c>
      <c r="L24" s="65">
        <v>5000</v>
      </c>
      <c r="M24" s="65">
        <v>5000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</row>
    <row r="25" spans="1:37" x14ac:dyDescent="0.75">
      <c r="A25" s="126" t="s">
        <v>243</v>
      </c>
      <c r="B25" s="65"/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:37" x14ac:dyDescent="0.75">
      <c r="A26" s="126" t="s">
        <v>244</v>
      </c>
      <c r="B26" s="65">
        <f>'[1]Income statement'!B11/12</f>
        <v>0</v>
      </c>
      <c r="C26" s="65">
        <v>8666.17</v>
      </c>
      <c r="D26" s="65">
        <v>8666.17</v>
      </c>
      <c r="E26" s="65">
        <v>8666.17</v>
      </c>
      <c r="F26" s="65">
        <v>8666.17</v>
      </c>
      <c r="G26" s="65">
        <v>8666.17</v>
      </c>
      <c r="H26" s="65">
        <v>8666.17</v>
      </c>
      <c r="I26" s="65">
        <v>8666.17</v>
      </c>
      <c r="J26" s="65">
        <v>8666.17</v>
      </c>
      <c r="K26" s="65">
        <v>8666.17</v>
      </c>
      <c r="L26" s="65">
        <v>8666.17</v>
      </c>
      <c r="M26" s="65">
        <v>8666.17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:37" x14ac:dyDescent="0.75">
      <c r="A27" s="126" t="s">
        <v>245</v>
      </c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:37" x14ac:dyDescent="0.75">
      <c r="A28" s="126" t="s">
        <v>246</v>
      </c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  <row r="29" spans="1:37" x14ac:dyDescent="0.75">
      <c r="A29" s="85"/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</row>
    <row r="30" spans="1:37" x14ac:dyDescent="0.75">
      <c r="A30" s="77" t="s">
        <v>247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</row>
    <row r="31" spans="1:37" x14ac:dyDescent="0.75">
      <c r="A31" s="85"/>
      <c r="B31" s="65">
        <v>0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</row>
    <row r="32" spans="1:37" ht="15.5" thickBot="1" x14ac:dyDescent="0.9">
      <c r="A32" s="124" t="s">
        <v>248</v>
      </c>
      <c r="B32" s="125">
        <f>SUM(B23:B31)</f>
        <v>895.83333333333337</v>
      </c>
      <c r="C32" s="125">
        <f t="shared" ref="C32:M32" si="1">SUM(C23:C31)</f>
        <v>26166.17</v>
      </c>
      <c r="D32" s="125">
        <f t="shared" si="1"/>
        <v>26166.17</v>
      </c>
      <c r="E32" s="125">
        <f t="shared" si="1"/>
        <v>26166.17</v>
      </c>
      <c r="F32" s="125">
        <f t="shared" si="1"/>
        <v>26166.17</v>
      </c>
      <c r="G32" s="125">
        <f t="shared" si="1"/>
        <v>26166.17</v>
      </c>
      <c r="H32" s="125">
        <f t="shared" si="1"/>
        <v>26166.17</v>
      </c>
      <c r="I32" s="125">
        <f>SUM(I23:I31)</f>
        <v>26166.17</v>
      </c>
      <c r="J32" s="125">
        <f t="shared" si="1"/>
        <v>26166.17</v>
      </c>
      <c r="K32" s="125">
        <f t="shared" si="1"/>
        <v>26166.17</v>
      </c>
      <c r="L32" s="125">
        <f>SUM(L23:L31)</f>
        <v>26166.17</v>
      </c>
      <c r="M32" s="125">
        <f t="shared" si="1"/>
        <v>26166.17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</row>
    <row r="33" spans="1:39" x14ac:dyDescent="0.75">
      <c r="A33" s="85"/>
      <c r="B33" s="65"/>
      <c r="C33" s="65"/>
      <c r="D33" s="65"/>
      <c r="E33" s="65"/>
      <c r="F33" s="65"/>
      <c r="G33" s="65"/>
      <c r="H33" s="65"/>
      <c r="N33" s="131"/>
      <c r="O33" s="131"/>
      <c r="P33" s="131"/>
      <c r="Q33" s="131"/>
      <c r="R33" s="131"/>
      <c r="S33" s="131"/>
      <c r="T33" s="131"/>
      <c r="Z33" s="131"/>
      <c r="AA33" s="131"/>
      <c r="AB33" s="131"/>
      <c r="AC33" s="131"/>
      <c r="AD33" s="131"/>
      <c r="AE33" s="131"/>
      <c r="AF33" s="131"/>
    </row>
    <row r="34" spans="1:39" x14ac:dyDescent="0.75">
      <c r="A34" s="120" t="s">
        <v>249</v>
      </c>
      <c r="B34" s="65"/>
      <c r="C34" s="65"/>
      <c r="D34" s="65"/>
      <c r="E34" s="65"/>
      <c r="F34" s="65"/>
      <c r="G34" s="65"/>
      <c r="H34" s="65"/>
      <c r="N34" s="131"/>
      <c r="O34" s="131"/>
      <c r="P34" s="131"/>
      <c r="Q34" s="131"/>
      <c r="R34" s="131"/>
      <c r="S34" s="131"/>
      <c r="T34" s="131"/>
      <c r="Z34" s="131"/>
      <c r="AA34" s="131"/>
      <c r="AB34" s="131"/>
      <c r="AC34" s="131"/>
      <c r="AD34" s="131"/>
      <c r="AE34" s="131"/>
      <c r="AF34" s="131"/>
    </row>
    <row r="35" spans="1:39" x14ac:dyDescent="0.75">
      <c r="A35" s="85"/>
      <c r="B35" s="65">
        <v>0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</row>
    <row r="36" spans="1:39" x14ac:dyDescent="0.75">
      <c r="A36" s="85" t="s">
        <v>250</v>
      </c>
      <c r="B36" s="65">
        <v>0</v>
      </c>
      <c r="C36" s="65">
        <v>0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5"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</row>
    <row r="37" spans="1:39" x14ac:dyDescent="0.75">
      <c r="A37" s="85" t="s">
        <v>251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</row>
    <row r="38" spans="1:39" x14ac:dyDescent="0.75">
      <c r="A38" s="85" t="s">
        <v>252</v>
      </c>
      <c r="B38" s="65">
        <v>0</v>
      </c>
      <c r="C38" s="65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</row>
    <row r="39" spans="1:39" x14ac:dyDescent="0.75">
      <c r="A39" s="85" t="s">
        <v>253</v>
      </c>
      <c r="B39" s="65">
        <v>0</v>
      </c>
      <c r="C39" s="65">
        <v>0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</row>
    <row r="40" spans="1:39" x14ac:dyDescent="0.75">
      <c r="A40" s="127" t="s">
        <v>254</v>
      </c>
      <c r="B40" s="65">
        <v>0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</row>
    <row r="41" spans="1:39" x14ac:dyDescent="0.75">
      <c r="A41" s="85"/>
      <c r="B41" s="65">
        <v>0</v>
      </c>
      <c r="C41" s="65">
        <v>0</v>
      </c>
      <c r="D41" s="65">
        <v>0</v>
      </c>
      <c r="E41" s="65">
        <v>0</v>
      </c>
      <c r="F41" s="65">
        <v>0</v>
      </c>
      <c r="G41" s="65">
        <v>0</v>
      </c>
      <c r="H41" s="65">
        <v>0</v>
      </c>
      <c r="I41" s="65">
        <v>0</v>
      </c>
      <c r="J41" s="65">
        <v>0</v>
      </c>
      <c r="K41" s="65">
        <v>0</v>
      </c>
      <c r="L41" s="65">
        <v>0</v>
      </c>
      <c r="M41" s="65">
        <v>0</v>
      </c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</row>
    <row r="42" spans="1:39" ht="15.5" thickBot="1" x14ac:dyDescent="0.9">
      <c r="A42" s="124" t="s">
        <v>255</v>
      </c>
      <c r="B42" s="128">
        <f>SUM(B35:B41)</f>
        <v>0</v>
      </c>
      <c r="C42" s="128">
        <f t="shared" ref="C42:M42" si="2">SUM(C35:C41)</f>
        <v>0</v>
      </c>
      <c r="D42" s="128">
        <f t="shared" si="2"/>
        <v>0</v>
      </c>
      <c r="E42" s="128">
        <f t="shared" si="2"/>
        <v>0</v>
      </c>
      <c r="F42" s="128">
        <f t="shared" si="2"/>
        <v>0</v>
      </c>
      <c r="G42" s="128">
        <f t="shared" si="2"/>
        <v>0</v>
      </c>
      <c r="H42" s="128">
        <f t="shared" si="2"/>
        <v>0</v>
      </c>
      <c r="I42" s="128">
        <f t="shared" si="2"/>
        <v>0</v>
      </c>
      <c r="J42" s="128">
        <f t="shared" si="2"/>
        <v>0</v>
      </c>
      <c r="K42" s="128">
        <f t="shared" si="2"/>
        <v>0</v>
      </c>
      <c r="L42" s="128">
        <f t="shared" si="2"/>
        <v>0</v>
      </c>
      <c r="M42" s="128">
        <f t="shared" si="2"/>
        <v>0</v>
      </c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 spans="1:39" x14ac:dyDescent="0.75">
      <c r="A43" s="85"/>
      <c r="B43" s="65"/>
      <c r="D43" s="65"/>
      <c r="E43" s="65"/>
      <c r="F43" s="65"/>
      <c r="G43" s="65"/>
      <c r="H43" s="65"/>
      <c r="N43" s="131"/>
      <c r="O43" s="131"/>
      <c r="P43" s="131"/>
      <c r="Q43" s="131"/>
      <c r="R43" s="131"/>
      <c r="S43" s="131"/>
      <c r="T43" s="131"/>
      <c r="Z43" s="131"/>
      <c r="AA43" s="131"/>
      <c r="AB43" s="131"/>
      <c r="AC43" s="131"/>
      <c r="AD43" s="131"/>
      <c r="AE43" s="131"/>
      <c r="AF43" s="131"/>
    </row>
    <row r="44" spans="1:39" x14ac:dyDescent="0.75">
      <c r="A44" s="85"/>
      <c r="B44" s="65"/>
      <c r="C44" s="65"/>
      <c r="D44" s="65"/>
      <c r="E44" s="65"/>
      <c r="F44" s="65"/>
      <c r="G44" s="65"/>
      <c r="H44" s="65"/>
      <c r="N44" s="131"/>
      <c r="O44" s="131"/>
      <c r="P44" s="131"/>
      <c r="Q44" s="131"/>
      <c r="R44" s="131"/>
      <c r="S44" s="131"/>
      <c r="T44" s="131"/>
      <c r="Z44" s="131"/>
      <c r="AA44" s="131"/>
      <c r="AB44" s="131"/>
      <c r="AC44" s="131"/>
      <c r="AD44" s="131"/>
      <c r="AE44" s="131"/>
      <c r="AF44" s="131"/>
    </row>
    <row r="45" spans="1:39" ht="15.5" thickBot="1" x14ac:dyDescent="0.9">
      <c r="A45" s="124" t="s">
        <v>256</v>
      </c>
      <c r="B45" s="125">
        <f>SUM(B20+B32+B42-B6)</f>
        <v>46582.941111111104</v>
      </c>
      <c r="C45" s="125">
        <f t="shared" ref="C45:M45" si="3">SUM(C20+C32-C42)</f>
        <v>48599.44</v>
      </c>
      <c r="D45" s="125">
        <f t="shared" si="3"/>
        <v>48599.44</v>
      </c>
      <c r="E45" s="125">
        <f t="shared" si="3"/>
        <v>48599.44</v>
      </c>
      <c r="F45" s="125">
        <f t="shared" si="3"/>
        <v>48599.44</v>
      </c>
      <c r="G45" s="125">
        <f t="shared" si="3"/>
        <v>48599.44</v>
      </c>
      <c r="H45" s="125">
        <f t="shared" si="3"/>
        <v>48599.44</v>
      </c>
      <c r="I45" s="125">
        <f t="shared" si="3"/>
        <v>48599.44</v>
      </c>
      <c r="J45" s="125">
        <f t="shared" si="3"/>
        <v>48599.44</v>
      </c>
      <c r="K45" s="125">
        <f t="shared" si="3"/>
        <v>48599.44</v>
      </c>
      <c r="L45" s="125">
        <f t="shared" si="3"/>
        <v>953560.4800000001</v>
      </c>
      <c r="M45" s="125">
        <f t="shared" si="3"/>
        <v>48599.44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</row>
    <row r="46" spans="1:39" x14ac:dyDescent="0.75">
      <c r="A46" s="8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</row>
    <row r="47" spans="1:39" x14ac:dyDescent="0.75">
      <c r="A47" s="85" t="s">
        <v>257</v>
      </c>
      <c r="B47" s="65">
        <f>B6</f>
        <v>0</v>
      </c>
      <c r="C47" s="65">
        <f>B48</f>
        <v>-46582.941111111104</v>
      </c>
      <c r="D47" s="65">
        <f>C48</f>
        <v>-95182.381111111114</v>
      </c>
      <c r="E47" s="65">
        <f>D48</f>
        <v>-143781.82111111112</v>
      </c>
      <c r="F47" s="65">
        <f>E48</f>
        <v>-192381.26111111112</v>
      </c>
      <c r="G47" s="65">
        <f t="shared" ref="G47:M47" si="4">F48</f>
        <v>-240980.70111111112</v>
      </c>
      <c r="H47" s="65">
        <f t="shared" si="4"/>
        <v>-289580.14111111115</v>
      </c>
      <c r="I47" s="65">
        <f t="shared" si="4"/>
        <v>-338179.58111111115</v>
      </c>
      <c r="J47" s="65">
        <f t="shared" si="4"/>
        <v>-386779.02111111116</v>
      </c>
      <c r="K47" s="65">
        <f t="shared" si="4"/>
        <v>-435378.46111111116</v>
      </c>
      <c r="L47" s="65">
        <f t="shared" si="4"/>
        <v>-483977.90111111116</v>
      </c>
      <c r="M47" s="65">
        <f t="shared" si="4"/>
        <v>-1437538.3811111113</v>
      </c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</row>
    <row r="48" spans="1:39" ht="15.5" thickBot="1" x14ac:dyDescent="0.9">
      <c r="A48" s="129" t="s">
        <v>258</v>
      </c>
      <c r="B48" s="130">
        <f>B47-B45</f>
        <v>-46582.941111111104</v>
      </c>
      <c r="C48" s="130">
        <f t="shared" ref="C48:M48" si="5">C47-C45</f>
        <v>-95182.381111111114</v>
      </c>
      <c r="D48" s="130">
        <f t="shared" si="5"/>
        <v>-143781.82111111112</v>
      </c>
      <c r="E48" s="130">
        <f t="shared" si="5"/>
        <v>-192381.26111111112</v>
      </c>
      <c r="F48" s="130">
        <f t="shared" si="5"/>
        <v>-240980.70111111112</v>
      </c>
      <c r="G48" s="130">
        <f t="shared" si="5"/>
        <v>-289580.14111111115</v>
      </c>
      <c r="H48" s="130">
        <f t="shared" si="5"/>
        <v>-338179.58111111115</v>
      </c>
      <c r="I48" s="130">
        <f t="shared" si="5"/>
        <v>-386779.02111111116</v>
      </c>
      <c r="J48" s="130">
        <f t="shared" si="5"/>
        <v>-435378.46111111116</v>
      </c>
      <c r="K48" s="130">
        <f t="shared" si="5"/>
        <v>-483977.90111111116</v>
      </c>
      <c r="L48" s="130">
        <f t="shared" si="5"/>
        <v>-1437538.3811111113</v>
      </c>
      <c r="M48" s="130">
        <f t="shared" si="5"/>
        <v>-1486137.8211111112</v>
      </c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spans="1:11" ht="15.5" thickTop="1" x14ac:dyDescent="0.75">
      <c r="A49" s="85"/>
      <c r="B49" s="65"/>
      <c r="C49" s="65"/>
      <c r="D49" s="65"/>
      <c r="E49" s="65"/>
      <c r="F49" s="65"/>
      <c r="G49" s="65"/>
      <c r="H49" s="65"/>
    </row>
    <row r="50" spans="1:11" x14ac:dyDescent="0.75">
      <c r="A50" s="85"/>
      <c r="B50" s="65"/>
      <c r="C50" s="65"/>
      <c r="D50" s="65"/>
      <c r="E50" s="65"/>
      <c r="F50" s="65"/>
      <c r="G50" s="65"/>
      <c r="H50" s="65"/>
    </row>
    <row r="51" spans="1:11" x14ac:dyDescent="0.75">
      <c r="A51" s="85" t="s">
        <v>259</v>
      </c>
      <c r="B51" s="65"/>
      <c r="C51" s="65"/>
      <c r="D51" s="65"/>
      <c r="E51" s="65"/>
      <c r="F51" s="65"/>
      <c r="G51" s="65"/>
      <c r="H51" s="65"/>
    </row>
    <row r="53" spans="1:11" x14ac:dyDescent="0.75">
      <c r="A53" s="155" t="s">
        <v>335</v>
      </c>
      <c r="B53" s="155"/>
      <c r="C53" s="155"/>
      <c r="D53" s="155"/>
      <c r="E53" s="155"/>
      <c r="F53" s="155"/>
      <c r="G53" s="155"/>
      <c r="H53" s="155"/>
      <c r="I53" s="155"/>
      <c r="J53" s="155"/>
      <c r="K53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88DA-2662-40E3-AD10-9263F97347EF}">
  <dimension ref="A1:G52"/>
  <sheetViews>
    <sheetView tabSelected="1" topLeftCell="A6" workbookViewId="0">
      <selection activeCell="B39" sqref="B39"/>
    </sheetView>
  </sheetViews>
  <sheetFormatPr defaultRowHeight="14.75" x14ac:dyDescent="0.75"/>
  <cols>
    <col min="1" max="1" width="43.81640625" bestFit="1" customWidth="1"/>
    <col min="2" max="2" width="12.1796875" bestFit="1" customWidth="1"/>
    <col min="3" max="3" width="12.08984375" bestFit="1" customWidth="1"/>
    <col min="5" max="5" width="23.7265625" bestFit="1" customWidth="1"/>
    <col min="6" max="6" width="12.08984375" bestFit="1" customWidth="1"/>
    <col min="7" max="7" width="12.1796875" bestFit="1" customWidth="1"/>
  </cols>
  <sheetData>
    <row r="1" spans="1:7" x14ac:dyDescent="0.75">
      <c r="A1" s="9" t="s">
        <v>268</v>
      </c>
      <c r="B1" s="57"/>
      <c r="C1" s="57"/>
      <c r="D1" s="57"/>
      <c r="F1" s="57"/>
    </row>
    <row r="2" spans="1:7" x14ac:dyDescent="0.75">
      <c r="B2" s="57"/>
      <c r="C2" s="57"/>
      <c r="D2" s="57"/>
      <c r="F2" s="57"/>
    </row>
    <row r="3" spans="1:7" x14ac:dyDescent="0.75">
      <c r="B3" s="57"/>
      <c r="C3" s="57"/>
      <c r="D3" s="57"/>
      <c r="F3" s="57"/>
    </row>
    <row r="4" spans="1:7" x14ac:dyDescent="0.75">
      <c r="A4" s="3" t="s">
        <v>269</v>
      </c>
      <c r="B4" s="65" t="s">
        <v>270</v>
      </c>
      <c r="C4" s="57"/>
      <c r="D4" s="57"/>
      <c r="E4" s="3" t="s">
        <v>271</v>
      </c>
      <c r="F4" s="65" t="s">
        <v>270</v>
      </c>
    </row>
    <row r="5" spans="1:7" x14ac:dyDescent="0.75">
      <c r="A5" s="3" t="s">
        <v>272</v>
      </c>
      <c r="B5" s="65"/>
      <c r="C5" s="57"/>
      <c r="D5" s="57"/>
      <c r="E5" s="3" t="s">
        <v>273</v>
      </c>
      <c r="F5" s="65"/>
      <c r="G5" s="65"/>
    </row>
    <row r="6" spans="1:7" x14ac:dyDescent="0.75">
      <c r="A6" s="65" t="s">
        <v>312</v>
      </c>
      <c r="B6" s="70">
        <f>'Production purchased machines'!D77</f>
        <v>25000</v>
      </c>
      <c r="C6" s="57"/>
      <c r="D6" s="57"/>
      <c r="E6" t="s">
        <v>274</v>
      </c>
      <c r="F6" s="65">
        <v>0</v>
      </c>
      <c r="G6" s="65"/>
    </row>
    <row r="7" spans="1:7" x14ac:dyDescent="0.75">
      <c r="A7" t="s">
        <v>275</v>
      </c>
      <c r="B7" s="65">
        <f>Depreciation!C10</f>
        <v>106350</v>
      </c>
      <c r="C7" s="57"/>
      <c r="D7" s="57"/>
      <c r="F7" s="65"/>
      <c r="G7" s="65"/>
    </row>
    <row r="8" spans="1:7" x14ac:dyDescent="0.75">
      <c r="A8" t="s">
        <v>276</v>
      </c>
      <c r="B8" s="65">
        <v>0</v>
      </c>
      <c r="C8" s="57"/>
      <c r="D8" s="57"/>
      <c r="E8" s="3" t="s">
        <v>277</v>
      </c>
      <c r="F8" s="65"/>
      <c r="G8" s="65">
        <f>SUM(F6:F7)</f>
        <v>0</v>
      </c>
    </row>
    <row r="9" spans="1:7" x14ac:dyDescent="0.75">
      <c r="A9" t="s">
        <v>278</v>
      </c>
      <c r="B9" s="65">
        <v>0</v>
      </c>
      <c r="C9" s="57"/>
      <c r="D9" s="57"/>
      <c r="F9" s="65"/>
      <c r="G9" s="65"/>
    </row>
    <row r="10" spans="1:7" x14ac:dyDescent="0.75">
      <c r="A10" s="3" t="s">
        <v>279</v>
      </c>
      <c r="B10" s="65"/>
      <c r="C10" s="65">
        <f>SUM(B6:B9)</f>
        <v>131350</v>
      </c>
      <c r="D10" s="57"/>
      <c r="E10" t="s">
        <v>280</v>
      </c>
      <c r="F10" s="65">
        <v>0</v>
      </c>
      <c r="G10" s="65"/>
    </row>
    <row r="11" spans="1:7" x14ac:dyDescent="0.75">
      <c r="B11" s="65"/>
      <c r="C11" s="135"/>
      <c r="D11" s="135"/>
      <c r="E11" t="s">
        <v>112</v>
      </c>
      <c r="F11" s="65">
        <f>'P&amp;L '!H21+'P&amp;L '!H23</f>
        <v>17500</v>
      </c>
      <c r="G11" s="65"/>
    </row>
    <row r="12" spans="1:7" x14ac:dyDescent="0.75">
      <c r="B12" s="65"/>
      <c r="C12" s="57"/>
      <c r="D12" s="57"/>
      <c r="E12" t="s">
        <v>281</v>
      </c>
      <c r="F12" s="136">
        <f>'P&amp;L '!H41</f>
        <v>22851.8174</v>
      </c>
      <c r="G12" s="65"/>
    </row>
    <row r="13" spans="1:7" x14ac:dyDescent="0.75">
      <c r="A13" s="3" t="s">
        <v>282</v>
      </c>
      <c r="B13" s="65"/>
      <c r="C13" s="57"/>
      <c r="D13" s="57"/>
      <c r="E13" s="3" t="s">
        <v>283</v>
      </c>
      <c r="F13" s="137"/>
      <c r="G13" s="65">
        <f>SUM(F10:F12)</f>
        <v>40351.8174</v>
      </c>
    </row>
    <row r="14" spans="1:7" x14ac:dyDescent="0.75">
      <c r="A14" t="s">
        <v>284</v>
      </c>
      <c r="B14" s="65">
        <v>0</v>
      </c>
      <c r="C14" s="57"/>
      <c r="D14" s="57"/>
      <c r="F14" s="65"/>
      <c r="G14" s="65"/>
    </row>
    <row r="15" spans="1:7" x14ac:dyDescent="0.75">
      <c r="A15" t="s">
        <v>285</v>
      </c>
      <c r="B15" s="65">
        <v>0</v>
      </c>
      <c r="C15" s="57"/>
      <c r="D15" s="57"/>
      <c r="E15" s="3" t="s">
        <v>286</v>
      </c>
      <c r="F15" s="65"/>
      <c r="G15" s="65"/>
    </row>
    <row r="16" spans="1:7" x14ac:dyDescent="0.75">
      <c r="A16" t="s">
        <v>287</v>
      </c>
      <c r="B16" s="65">
        <f>'P&amp;L '!I43</f>
        <v>50863.722599999994</v>
      </c>
      <c r="C16" s="57"/>
      <c r="D16" s="57"/>
      <c r="E16" t="s">
        <v>288</v>
      </c>
      <c r="F16" s="65">
        <v>0</v>
      </c>
      <c r="G16" s="65"/>
    </row>
    <row r="17" spans="1:7" x14ac:dyDescent="0.75">
      <c r="A17" t="s">
        <v>289</v>
      </c>
      <c r="B17" s="65">
        <f>'Production purchased machines'!I20+'Production purchased machines'!I30+'Production purchased machines'!K37+'Production purchased machines'!K41+'Production purchased machines'!K45+'Production purchased machines'!K53+'Production purchased machines'!L59+'Production purchased machines'!F64+'Production purchased machines'!E72</f>
        <v>267339</v>
      </c>
      <c r="C17" s="57"/>
      <c r="D17" s="57"/>
      <c r="F17" s="65">
        <v>347201.18</v>
      </c>
      <c r="G17" s="65"/>
    </row>
    <row r="18" spans="1:7" x14ac:dyDescent="0.75">
      <c r="A18" t="s">
        <v>290</v>
      </c>
      <c r="B18" s="65">
        <v>0</v>
      </c>
      <c r="C18" s="57"/>
      <c r="D18" s="57"/>
      <c r="E18" t="s">
        <v>291</v>
      </c>
      <c r="F18" s="65">
        <f>'P&amp;L '!I43</f>
        <v>50863.722599999994</v>
      </c>
      <c r="G18" s="65"/>
    </row>
    <row r="19" spans="1:7" x14ac:dyDescent="0.75">
      <c r="A19" s="3" t="s">
        <v>292</v>
      </c>
      <c r="B19" s="65"/>
      <c r="C19" s="65">
        <f>SUM(B14:B18)</f>
        <v>318202.72259999998</v>
      </c>
      <c r="D19" s="57"/>
      <c r="E19" s="3" t="s">
        <v>293</v>
      </c>
      <c r="G19" s="138">
        <f>SUM(F16:F18)</f>
        <v>398064.90259999997</v>
      </c>
    </row>
    <row r="20" spans="1:7" x14ac:dyDescent="0.75">
      <c r="B20" s="65"/>
      <c r="C20" s="57"/>
      <c r="D20" s="57"/>
      <c r="F20" s="65"/>
      <c r="G20" s="65"/>
    </row>
    <row r="21" spans="1:7" ht="15.5" thickBot="1" x14ac:dyDescent="0.9">
      <c r="A21" s="139" t="s">
        <v>294</v>
      </c>
      <c r="B21" s="140"/>
      <c r="C21" s="141">
        <f>C10+C19</f>
        <v>449552.72259999998</v>
      </c>
      <c r="D21" s="57"/>
      <c r="E21" s="139" t="s">
        <v>295</v>
      </c>
      <c r="F21" s="130"/>
      <c r="G21" s="141">
        <f>G8+G13+G19</f>
        <v>438416.72</v>
      </c>
    </row>
    <row r="22" spans="1:7" ht="15.5" thickTop="1" x14ac:dyDescent="0.75"/>
    <row r="27" spans="1:7" x14ac:dyDescent="0.75">
      <c r="A27" s="142" t="s">
        <v>296</v>
      </c>
    </row>
    <row r="29" spans="1:7" ht="15.5" thickBot="1" x14ac:dyDescent="0.9">
      <c r="A29" s="139" t="s">
        <v>297</v>
      </c>
      <c r="B29" s="130" t="s">
        <v>270</v>
      </c>
    </row>
    <row r="30" spans="1:7" ht="15.5" thickTop="1" x14ac:dyDescent="0.75">
      <c r="A30" s="57" t="s">
        <v>299</v>
      </c>
      <c r="B30" s="65">
        <v>3500</v>
      </c>
    </row>
    <row r="31" spans="1:7" x14ac:dyDescent="0.75">
      <c r="A31" s="57" t="s">
        <v>300</v>
      </c>
      <c r="B31" s="65">
        <v>4000</v>
      </c>
    </row>
    <row r="32" spans="1:7" x14ac:dyDescent="0.75">
      <c r="A32" s="57" t="s">
        <v>110</v>
      </c>
      <c r="B32" s="65">
        <v>3600</v>
      </c>
    </row>
    <row r="33" spans="1:2" x14ac:dyDescent="0.75">
      <c r="A33" s="57" t="s">
        <v>112</v>
      </c>
      <c r="B33" s="65">
        <v>18000</v>
      </c>
    </row>
    <row r="34" spans="1:2" x14ac:dyDescent="0.75">
      <c r="A34" s="57" t="s">
        <v>301</v>
      </c>
      <c r="B34" s="65">
        <v>2400</v>
      </c>
    </row>
    <row r="35" spans="1:2" x14ac:dyDescent="0.75">
      <c r="A35" s="57" t="s">
        <v>113</v>
      </c>
      <c r="B35" s="65">
        <v>3000</v>
      </c>
    </row>
    <row r="36" spans="1:2" ht="15.5" thickBot="1" x14ac:dyDescent="0.9">
      <c r="A36" s="144" t="s">
        <v>302</v>
      </c>
      <c r="B36" s="140">
        <f>SUM(B30:B35)</f>
        <v>34500</v>
      </c>
    </row>
    <row r="37" spans="1:2" ht="15.5" thickTop="1" x14ac:dyDescent="0.75">
      <c r="A37" s="57"/>
      <c r="B37" s="57"/>
    </row>
    <row r="38" spans="1:2" x14ac:dyDescent="0.75">
      <c r="A38" s="57"/>
      <c r="B38" s="57"/>
    </row>
    <row r="39" spans="1:2" ht="15.5" thickBot="1" x14ac:dyDescent="0.9">
      <c r="A39" s="139" t="s">
        <v>303</v>
      </c>
      <c r="B39" s="143" t="s">
        <v>270</v>
      </c>
    </row>
    <row r="40" spans="1:2" ht="15.5" thickTop="1" x14ac:dyDescent="0.75">
      <c r="A40" s="57" t="s">
        <v>304</v>
      </c>
      <c r="B40" s="65">
        <v>19024.240000000002</v>
      </c>
    </row>
    <row r="41" spans="1:2" x14ac:dyDescent="0.75">
      <c r="A41" s="57" t="s">
        <v>305</v>
      </c>
      <c r="B41" s="65">
        <v>22777.620000000003</v>
      </c>
    </row>
    <row r="42" spans="1:2" x14ac:dyDescent="0.75">
      <c r="A42" s="57" t="s">
        <v>306</v>
      </c>
      <c r="B42" s="65">
        <v>504</v>
      </c>
    </row>
    <row r="43" spans="1:2" x14ac:dyDescent="0.75">
      <c r="A43" s="57" t="s">
        <v>107</v>
      </c>
      <c r="B43" s="65">
        <v>1413.0119999999999</v>
      </c>
    </row>
    <row r="44" spans="1:2" x14ac:dyDescent="0.75">
      <c r="A44" s="57" t="s">
        <v>111</v>
      </c>
      <c r="B44" s="65">
        <v>26356</v>
      </c>
    </row>
    <row r="45" spans="1:2" ht="15.5" thickBot="1" x14ac:dyDescent="0.9">
      <c r="A45" s="139" t="s">
        <v>307</v>
      </c>
      <c r="B45" s="140">
        <f>SUM(B40:B44)</f>
        <v>70074.872000000003</v>
      </c>
    </row>
    <row r="46" spans="1:2" ht="15.5" thickTop="1" x14ac:dyDescent="0.75"/>
    <row r="48" spans="1:2" ht="15.5" thickBot="1" x14ac:dyDescent="0.9">
      <c r="A48" s="139" t="s">
        <v>308</v>
      </c>
      <c r="B48" s="143" t="s">
        <v>298</v>
      </c>
    </row>
    <row r="49" spans="1:2" ht="15.5" thickTop="1" x14ac:dyDescent="0.75">
      <c r="A49" s="57" t="s">
        <v>309</v>
      </c>
      <c r="B49" s="65">
        <f>SUM(4792*35)</f>
        <v>167720</v>
      </c>
    </row>
    <row r="50" spans="1:2" x14ac:dyDescent="0.75">
      <c r="A50" s="57" t="s">
        <v>310</v>
      </c>
      <c r="B50" s="65">
        <v>3240</v>
      </c>
    </row>
    <row r="51" spans="1:2" ht="15.5" thickBot="1" x14ac:dyDescent="0.9">
      <c r="A51" s="139" t="s">
        <v>311</v>
      </c>
      <c r="B51" s="140">
        <f>SUM(B49:B50)</f>
        <v>170960</v>
      </c>
    </row>
    <row r="52" spans="1:2" ht="15.5" thickTop="1" x14ac:dyDescent="0.7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332D-AC19-4069-9C93-1B0682E831FE}">
  <dimension ref="A1:H14"/>
  <sheetViews>
    <sheetView workbookViewId="0">
      <selection activeCell="E4" sqref="E4"/>
    </sheetView>
  </sheetViews>
  <sheetFormatPr defaultRowHeight="14.75" x14ac:dyDescent="0.75"/>
  <cols>
    <col min="1" max="1" width="57.81640625" bestFit="1" customWidth="1"/>
    <col min="2" max="2" width="10.81640625" bestFit="1" customWidth="1"/>
    <col min="4" max="4" width="54.6328125" customWidth="1"/>
    <col min="6" max="6" width="34.7265625" customWidth="1"/>
    <col min="8" max="8" width="40.453125" customWidth="1"/>
  </cols>
  <sheetData>
    <row r="1" spans="1:8" x14ac:dyDescent="0.75">
      <c r="A1" s="170" t="s">
        <v>197</v>
      </c>
      <c r="B1" s="171"/>
      <c r="C1" s="171"/>
      <c r="D1" s="171"/>
      <c r="E1" s="171"/>
      <c r="F1" s="171"/>
      <c r="G1" s="171"/>
      <c r="H1" s="172"/>
    </row>
    <row r="2" spans="1:8" x14ac:dyDescent="0.75">
      <c r="A2" s="107" t="s">
        <v>198</v>
      </c>
      <c r="B2" s="107"/>
      <c r="D2" s="107" t="s">
        <v>199</v>
      </c>
      <c r="E2" s="107"/>
      <c r="F2" s="107" t="s">
        <v>200</v>
      </c>
      <c r="G2" s="107"/>
      <c r="H2" s="108"/>
    </row>
    <row r="3" spans="1:8" x14ac:dyDescent="0.75">
      <c r="A3" s="109" t="s">
        <v>201</v>
      </c>
      <c r="B3" s="148">
        <f>'P&amp;L '!I16/'P&amp;L '!I6*100</f>
        <v>50.99171974522293</v>
      </c>
      <c r="D3" s="111" t="s">
        <v>202</v>
      </c>
      <c r="E3" s="108">
        <f>'Balance sheet'!C19/'Balance sheet'!G13</f>
        <v>7.8857098168767976</v>
      </c>
      <c r="F3" s="112" t="s">
        <v>203</v>
      </c>
      <c r="G3" s="108"/>
      <c r="H3" s="108"/>
    </row>
    <row r="4" spans="1:8" x14ac:dyDescent="0.75">
      <c r="A4" s="108" t="s">
        <v>204</v>
      </c>
      <c r="B4" s="113"/>
      <c r="D4" s="108" t="s">
        <v>205</v>
      </c>
      <c r="F4" s="108" t="s">
        <v>206</v>
      </c>
      <c r="G4" s="108"/>
      <c r="H4" s="108"/>
    </row>
    <row r="5" spans="1:8" ht="59" x14ac:dyDescent="0.75">
      <c r="A5" s="114" t="s">
        <v>207</v>
      </c>
      <c r="B5" s="108"/>
      <c r="D5" s="115" t="s">
        <v>208</v>
      </c>
      <c r="E5" s="108"/>
      <c r="F5" s="116" t="s">
        <v>209</v>
      </c>
      <c r="G5" s="108"/>
      <c r="H5" s="108"/>
    </row>
    <row r="6" spans="1:8" x14ac:dyDescent="0.75">
      <c r="A6" s="109" t="s">
        <v>210</v>
      </c>
      <c r="B6" s="149">
        <f>'P&amp;L '!I17/'P&amp;L '!I6*100</f>
        <v>49.00828025477707</v>
      </c>
      <c r="D6" s="109" t="s">
        <v>211</v>
      </c>
      <c r="E6" s="108"/>
      <c r="F6" s="108"/>
      <c r="G6" s="108"/>
      <c r="H6" s="108"/>
    </row>
    <row r="7" spans="1:8" x14ac:dyDescent="0.75">
      <c r="A7" s="108" t="s">
        <v>212</v>
      </c>
      <c r="B7" s="117"/>
      <c r="D7" s="108"/>
      <c r="E7" s="108"/>
      <c r="F7" s="108"/>
      <c r="G7" s="108"/>
      <c r="H7" s="108"/>
    </row>
    <row r="8" spans="1:8" ht="29.5" x14ac:dyDescent="0.75">
      <c r="A8" s="118" t="s">
        <v>213</v>
      </c>
      <c r="B8" s="108"/>
      <c r="D8" s="117" t="s">
        <v>214</v>
      </c>
      <c r="E8" s="108"/>
      <c r="F8" s="108"/>
      <c r="G8" s="108"/>
      <c r="H8" s="108"/>
    </row>
    <row r="9" spans="1:8" x14ac:dyDescent="0.75">
      <c r="A9" s="109" t="s">
        <v>321</v>
      </c>
      <c r="B9" s="148">
        <f>'P&amp;L '!I35/'P&amp;L '!I6*100</f>
        <v>28.629617834394907</v>
      </c>
      <c r="D9" s="111" t="s">
        <v>216</v>
      </c>
      <c r="E9" s="108"/>
      <c r="F9" s="108"/>
      <c r="G9" s="108"/>
      <c r="H9" s="108"/>
    </row>
    <row r="10" spans="1:8" x14ac:dyDescent="0.75">
      <c r="A10" s="108" t="s">
        <v>320</v>
      </c>
      <c r="B10" s="108"/>
      <c r="D10" s="108"/>
      <c r="E10" s="108"/>
      <c r="F10" s="108"/>
      <c r="G10" s="108"/>
      <c r="H10" s="108"/>
    </row>
    <row r="11" spans="1:8" ht="44.25" x14ac:dyDescent="0.75">
      <c r="A11" s="117" t="s">
        <v>217</v>
      </c>
      <c r="B11" s="108"/>
      <c r="D11" s="108"/>
      <c r="E11" s="108"/>
      <c r="F11" s="108"/>
      <c r="G11" s="108"/>
      <c r="H11" s="108"/>
    </row>
    <row r="12" spans="1:8" x14ac:dyDescent="0.75">
      <c r="A12" s="109" t="s">
        <v>319</v>
      </c>
      <c r="B12" s="148">
        <f>SUM('P&amp;L '!I43/'P&amp;L '!I6)*100</f>
        <v>16.198637770700635</v>
      </c>
      <c r="D12" s="108"/>
      <c r="E12" s="108"/>
      <c r="F12" s="108"/>
      <c r="G12" s="108"/>
      <c r="H12" s="108"/>
    </row>
    <row r="13" spans="1:8" x14ac:dyDescent="0.75">
      <c r="A13" s="108" t="s">
        <v>219</v>
      </c>
      <c r="B13" s="108"/>
      <c r="D13" s="108"/>
      <c r="E13" s="108"/>
      <c r="F13" s="108"/>
      <c r="G13" s="108"/>
      <c r="H13" s="108"/>
    </row>
    <row r="14" spans="1:8" ht="29.5" x14ac:dyDescent="0.75">
      <c r="A14" s="150" t="s">
        <v>220</v>
      </c>
      <c r="B14" s="108"/>
      <c r="D14" s="108"/>
      <c r="E14" s="108"/>
      <c r="F14" s="108"/>
      <c r="G14" s="108"/>
      <c r="H14" s="108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38E5-647F-480F-BA5D-7DBBB9891065}">
  <dimension ref="A1:H14"/>
  <sheetViews>
    <sheetView workbookViewId="0">
      <selection activeCell="D11" sqref="D11"/>
    </sheetView>
  </sheetViews>
  <sheetFormatPr defaultRowHeight="14.75" x14ac:dyDescent="0.75"/>
  <cols>
    <col min="1" max="1" width="57.81640625" bestFit="1" customWidth="1"/>
    <col min="2" max="2" width="9.81640625" bestFit="1" customWidth="1"/>
    <col min="4" max="4" width="54.6328125" customWidth="1"/>
    <col min="6" max="6" width="34.7265625" customWidth="1"/>
    <col min="8" max="8" width="40.453125" customWidth="1"/>
  </cols>
  <sheetData>
    <row r="1" spans="1:8" x14ac:dyDescent="0.75">
      <c r="A1" s="170" t="s">
        <v>197</v>
      </c>
      <c r="B1" s="171"/>
      <c r="C1" s="171"/>
      <c r="D1" s="171"/>
      <c r="E1" s="171"/>
      <c r="F1" s="171"/>
      <c r="G1" s="171"/>
      <c r="H1" s="172"/>
    </row>
    <row r="2" spans="1:8" x14ac:dyDescent="0.75">
      <c r="A2" s="107" t="s">
        <v>198</v>
      </c>
      <c r="B2" s="107"/>
      <c r="D2" s="107" t="s">
        <v>199</v>
      </c>
      <c r="E2" s="107"/>
      <c r="F2" s="107" t="s">
        <v>200</v>
      </c>
      <c r="G2" s="107"/>
      <c r="H2" s="108"/>
    </row>
    <row r="3" spans="1:8" x14ac:dyDescent="0.75">
      <c r="A3" s="109" t="s">
        <v>201</v>
      </c>
      <c r="B3" s="110"/>
      <c r="D3" s="111" t="s">
        <v>202</v>
      </c>
      <c r="E3" s="108" t="e">
        <f>SUM('[2]Balance sheet '!$C$19/'[2]Balance sheet '!$G$13)</f>
        <v>#DIV/0!</v>
      </c>
      <c r="F3" s="112" t="s">
        <v>203</v>
      </c>
      <c r="G3" s="108"/>
      <c r="H3" s="108"/>
    </row>
    <row r="4" spans="1:8" x14ac:dyDescent="0.75">
      <c r="A4" s="108" t="s">
        <v>204</v>
      </c>
      <c r="B4" s="113"/>
      <c r="D4" s="108" t="s">
        <v>205</v>
      </c>
      <c r="F4" s="108" t="s">
        <v>206</v>
      </c>
      <c r="G4" s="108"/>
      <c r="H4" s="108"/>
    </row>
    <row r="5" spans="1:8" ht="59" x14ac:dyDescent="0.75">
      <c r="A5" s="114" t="s">
        <v>207</v>
      </c>
      <c r="B5" s="108"/>
      <c r="D5" s="115" t="s">
        <v>208</v>
      </c>
      <c r="E5" s="108"/>
      <c r="F5" s="116" t="s">
        <v>209</v>
      </c>
      <c r="G5" s="108"/>
      <c r="H5" s="108"/>
    </row>
    <row r="6" spans="1:8" x14ac:dyDescent="0.75">
      <c r="A6" s="109" t="s">
        <v>210</v>
      </c>
      <c r="B6" s="108">
        <f>('[2]Income statement'!$C$6-'[2]Income statement'!$C$22)/'[2]Income statement'!$C$6*100</f>
        <v>91.211325611325606</v>
      </c>
      <c r="D6" s="109" t="s">
        <v>211</v>
      </c>
      <c r="E6" s="108"/>
      <c r="F6" s="108"/>
      <c r="G6" s="108"/>
      <c r="H6" s="108"/>
    </row>
    <row r="7" spans="1:8" x14ac:dyDescent="0.75">
      <c r="A7" s="108" t="s">
        <v>212</v>
      </c>
      <c r="B7" s="117"/>
      <c r="D7" s="108"/>
      <c r="E7" s="108"/>
      <c r="F7" s="108"/>
      <c r="G7" s="108"/>
      <c r="H7" s="108"/>
    </row>
    <row r="8" spans="1:8" ht="29.5" x14ac:dyDescent="0.75">
      <c r="A8" s="118" t="s">
        <v>213</v>
      </c>
      <c r="B8" s="108"/>
      <c r="D8" s="117" t="s">
        <v>214</v>
      </c>
      <c r="E8" s="108"/>
      <c r="F8" s="108"/>
      <c r="G8" s="108"/>
      <c r="H8" s="108"/>
    </row>
    <row r="9" spans="1:8" x14ac:dyDescent="0.75">
      <c r="A9" s="109" t="s">
        <v>215</v>
      </c>
      <c r="B9" s="108">
        <f>SUM('[2]Income statement'!C23/'[2]Income statement'!C6)</f>
        <v>0.91211325611325611</v>
      </c>
      <c r="D9" s="111" t="s">
        <v>216</v>
      </c>
      <c r="E9" s="108"/>
      <c r="F9" s="108"/>
      <c r="G9" s="108"/>
      <c r="H9" s="108"/>
    </row>
    <row r="10" spans="1:8" x14ac:dyDescent="0.75">
      <c r="A10" s="108"/>
      <c r="B10" s="108"/>
      <c r="D10" s="108"/>
      <c r="E10" s="108"/>
      <c r="F10" s="108"/>
      <c r="G10" s="108"/>
      <c r="H10" s="108"/>
    </row>
    <row r="11" spans="1:8" ht="44.25" x14ac:dyDescent="0.75">
      <c r="A11" s="117" t="s">
        <v>217</v>
      </c>
      <c r="B11" s="108"/>
      <c r="D11" s="108"/>
      <c r="E11" s="108"/>
      <c r="F11" s="108"/>
      <c r="G11" s="108"/>
      <c r="H11" s="108"/>
    </row>
    <row r="12" spans="1:8" x14ac:dyDescent="0.75">
      <c r="A12" s="109" t="s">
        <v>218</v>
      </c>
      <c r="B12" s="108">
        <f>SUM('[2]Income statement'!C50/'[2]Income statement'!C6)*100</f>
        <v>65.672154440154443</v>
      </c>
      <c r="D12" s="108"/>
      <c r="E12" s="108"/>
      <c r="F12" s="108"/>
      <c r="G12" s="108"/>
      <c r="H12" s="108"/>
    </row>
    <row r="13" spans="1:8" x14ac:dyDescent="0.75">
      <c r="A13" s="108" t="s">
        <v>219</v>
      </c>
      <c r="B13" s="108"/>
      <c r="D13" s="108"/>
      <c r="E13" s="108"/>
      <c r="F13" s="108"/>
      <c r="G13" s="108"/>
      <c r="H13" s="108"/>
    </row>
    <row r="14" spans="1:8" ht="29.5" x14ac:dyDescent="0.75">
      <c r="A14" s="119" t="s">
        <v>220</v>
      </c>
      <c r="B14" s="108"/>
      <c r="D14" s="108"/>
      <c r="E14" s="108"/>
      <c r="F14" s="108"/>
      <c r="G14" s="108"/>
      <c r="H14" s="108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Production rented machines</vt:lpstr>
      <vt:lpstr>Production purchased machines</vt:lpstr>
      <vt:lpstr>P&amp;L </vt:lpstr>
      <vt:lpstr>Depreciation</vt:lpstr>
      <vt:lpstr>CashflowPM</vt:lpstr>
      <vt:lpstr>CashflowRM</vt:lpstr>
      <vt:lpstr>Balance sheet</vt:lpstr>
      <vt:lpstr>Ratios PM</vt:lpstr>
      <vt:lpstr>Ratios RM</vt:lpstr>
      <vt:lpstr>payroll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Sanginga, Jerry Ntale (IITA)</dc:creator>
  <cp:lastModifiedBy>Sanginga, Jerry Ntale (IITA)</cp:lastModifiedBy>
  <dcterms:created xsi:type="dcterms:W3CDTF">2024-07-23T08:13:58Z</dcterms:created>
  <dcterms:modified xsi:type="dcterms:W3CDTF">2025-07-21T12:26:35Z</dcterms:modified>
</cp:coreProperties>
</file>