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cgiar-my.sharepoint.com/personal/jn_sanginga_cgiar_org/Documents/Documents/START/START business/Projections Financiere/"/>
    </mc:Choice>
  </mc:AlternateContent>
  <xr:revisionPtr revIDLastSave="0" documentId="8_{6C9D17CC-216A-4A26-8C15-53E2A944BD00}" xr6:coauthVersionLast="47" xr6:coauthVersionMax="47" xr10:uidLastSave="{00000000-0000-0000-0000-000000000000}"/>
  <bookViews>
    <workbookView xWindow="-90" yWindow="-90" windowWidth="19380" windowHeight="10260" xr2:uid="{E775576C-FAD2-48AE-BB5C-6DEBBB55836F}"/>
  </bookViews>
  <sheets>
    <sheet name="Assumptions " sheetId="24" r:id="rId1"/>
    <sheet name="Tab -1 Sales forcast|revenue " sheetId="6" r:id="rId2"/>
    <sheet name="Tab - 3 P&amp;E|Depreciation " sheetId="8" r:id="rId3"/>
    <sheet name="Income statement" sheetId="1" r:id="rId4"/>
    <sheet name="Balance sheet " sheetId="2" r:id="rId5"/>
    <sheet name="Breakeven" sheetId="4" r:id="rId6"/>
    <sheet name="Tab 4 - Payroll cost " sheetId="9" state="hidden" r:id="rId7"/>
    <sheet name="Formulas Ratios " sheetId="5"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C19" i="2"/>
  <c r="C21" i="2" s="1"/>
  <c r="B15" i="2"/>
  <c r="B8" i="2"/>
  <c r="B7" i="2"/>
  <c r="B6" i="2"/>
  <c r="C39" i="1" l="1"/>
  <c r="B37" i="1"/>
  <c r="C35" i="1"/>
  <c r="B33" i="1"/>
  <c r="C31" i="1"/>
  <c r="B28" i="1"/>
  <c r="H16" i="8"/>
  <c r="F16" i="8"/>
  <c r="C16" i="8"/>
  <c r="C19" i="8"/>
  <c r="C11" i="8"/>
  <c r="C10" i="8"/>
  <c r="C9" i="8"/>
  <c r="C8" i="8"/>
  <c r="C7" i="8"/>
  <c r="C6" i="8"/>
  <c r="C25" i="1"/>
  <c r="B24" i="1"/>
  <c r="B21" i="1"/>
  <c r="L52" i="24"/>
  <c r="K52" i="24"/>
  <c r="L51" i="24"/>
  <c r="K51" i="24"/>
  <c r="J51" i="24"/>
  <c r="H51" i="24"/>
  <c r="L50" i="24"/>
  <c r="K50" i="24"/>
  <c r="J50" i="24"/>
  <c r="H50" i="24"/>
  <c r="L49" i="24"/>
  <c r="K49" i="24"/>
  <c r="K45" i="24"/>
  <c r="J49" i="24"/>
  <c r="H49" i="24"/>
  <c r="I44" i="24"/>
  <c r="J44" i="24" s="1"/>
  <c r="H44" i="24"/>
  <c r="F22" i="6"/>
  <c r="H6" i="6"/>
  <c r="H8" i="6" s="1"/>
  <c r="H74" i="24"/>
  <c r="H72" i="24"/>
  <c r="H73" i="24"/>
  <c r="J19" i="24"/>
  <c r="K74" i="24" s="1"/>
  <c r="H71" i="24"/>
  <c r="J9" i="24"/>
  <c r="H62" i="24"/>
  <c r="H63" i="24"/>
  <c r="G65" i="24"/>
  <c r="H64" i="24"/>
  <c r="H61" i="24"/>
  <c r="H60" i="24"/>
  <c r="B18" i="1" s="1"/>
  <c r="H59" i="24"/>
  <c r="H58" i="24"/>
  <c r="H57" i="24"/>
  <c r="I45" i="24"/>
  <c r="J45" i="24" s="1"/>
  <c r="H45" i="24"/>
  <c r="I43" i="24"/>
  <c r="J43" i="24" s="1"/>
  <c r="H43" i="24"/>
  <c r="H25" i="24"/>
  <c r="I25" i="24" s="1"/>
  <c r="I42" i="24"/>
  <c r="J42" i="24" s="1"/>
  <c r="H42" i="24"/>
  <c r="I41" i="24"/>
  <c r="J41" i="24" s="1"/>
  <c r="H41" i="24"/>
  <c r="I40" i="24"/>
  <c r="J40" i="24" s="1"/>
  <c r="K40" i="24" s="1"/>
  <c r="H40" i="24"/>
  <c r="I39" i="24"/>
  <c r="J39" i="24" s="1"/>
  <c r="H39" i="24"/>
  <c r="I38" i="24"/>
  <c r="J38" i="24" s="1"/>
  <c r="H38" i="24"/>
  <c r="H37" i="24"/>
  <c r="H24" i="24"/>
  <c r="I37" i="24"/>
  <c r="J37" i="24" s="1"/>
  <c r="K37" i="24" s="1"/>
  <c r="G23" i="24"/>
  <c r="H23" i="24" s="1"/>
  <c r="M29" i="24"/>
  <c r="H29" i="24"/>
  <c r="I29" i="24" s="1"/>
  <c r="M28" i="24"/>
  <c r="I28" i="24"/>
  <c r="H28" i="24"/>
  <c r="H27" i="24"/>
  <c r="I27" i="24"/>
  <c r="M27" i="24"/>
  <c r="M26" i="24"/>
  <c r="H26" i="24"/>
  <c r="I26" i="24" s="1"/>
  <c r="M25" i="24"/>
  <c r="L23" i="24"/>
  <c r="M23" i="24" s="1"/>
  <c r="M24" i="24"/>
  <c r="I36" i="24"/>
  <c r="H36" i="24"/>
  <c r="G36" i="24"/>
  <c r="I35" i="24"/>
  <c r="H35" i="24"/>
  <c r="G35" i="24"/>
  <c r="J15" i="24"/>
  <c r="J18" i="24" s="1"/>
  <c r="L44" i="24" l="1"/>
  <c r="B19" i="1" s="1"/>
  <c r="K44" i="24"/>
  <c r="I72" i="24"/>
  <c r="J72" i="24" s="1"/>
  <c r="I74" i="24"/>
  <c r="J74" i="24" s="1"/>
  <c r="C14" i="6"/>
  <c r="L74" i="24"/>
  <c r="I73" i="24"/>
  <c r="J73" i="24" s="1"/>
  <c r="L73" i="24" s="1"/>
  <c r="K71" i="24"/>
  <c r="K72" i="24"/>
  <c r="L72" i="24" s="1"/>
  <c r="K73" i="24"/>
  <c r="H9" i="6"/>
  <c r="C22" i="6" s="1"/>
  <c r="I71" i="24"/>
  <c r="J71" i="24" s="1"/>
  <c r="H65" i="24"/>
  <c r="J35" i="24"/>
  <c r="K35" i="24" s="1"/>
  <c r="J27" i="24"/>
  <c r="K27" i="24" s="1"/>
  <c r="J23" i="24"/>
  <c r="K23" i="24" s="1"/>
  <c r="J36" i="24"/>
  <c r="K36" i="24" s="1"/>
  <c r="K42" i="24"/>
  <c r="L42" i="24"/>
  <c r="L43" i="24"/>
  <c r="K43" i="24"/>
  <c r="L38" i="24"/>
  <c r="K38" i="24"/>
  <c r="L39" i="24"/>
  <c r="K39" i="24"/>
  <c r="L45" i="24"/>
  <c r="L41" i="24"/>
  <c r="K41" i="24"/>
  <c r="J29" i="24"/>
  <c r="K29" i="24" s="1"/>
  <c r="M30" i="24"/>
  <c r="L40" i="24"/>
  <c r="L37" i="24"/>
  <c r="J28" i="24"/>
  <c r="K28" i="24" s="1"/>
  <c r="L30" i="24"/>
  <c r="J26" i="24"/>
  <c r="K26" i="24" s="1"/>
  <c r="J25" i="24"/>
  <c r="K25" i="24" s="1"/>
  <c r="I23" i="24"/>
  <c r="J24" i="24"/>
  <c r="K24" i="24" s="1"/>
  <c r="I24" i="24"/>
  <c r="L36" i="24"/>
  <c r="D14" i="6" l="1"/>
  <c r="E14" i="6"/>
  <c r="B9" i="1" s="1"/>
  <c r="D22" i="6"/>
  <c r="H22" i="6" s="1"/>
  <c r="E22" i="6"/>
  <c r="I22" i="6" s="1"/>
  <c r="B4" i="1" s="1"/>
  <c r="G22" i="6"/>
  <c r="L71" i="24"/>
  <c r="L75" i="24" s="1"/>
  <c r="B20" i="1" s="1"/>
  <c r="J75" i="24"/>
  <c r="L35" i="24"/>
  <c r="L46" i="24" s="1"/>
  <c r="B10" i="1" s="1"/>
  <c r="K46" i="24"/>
  <c r="K30" i="24"/>
  <c r="C11" i="1" l="1"/>
  <c r="C13" i="1" s="1"/>
  <c r="H18" i="8" l="1"/>
  <c r="F18" i="8"/>
  <c r="H17" i="8"/>
  <c r="F17" i="8"/>
  <c r="H7" i="8"/>
  <c r="H8" i="8"/>
  <c r="H9" i="8"/>
  <c r="H10" i="8"/>
  <c r="H11" i="8"/>
  <c r="H12" i="8"/>
  <c r="H13" i="8"/>
  <c r="H14" i="8"/>
  <c r="H15" i="8"/>
  <c r="F7" i="8"/>
  <c r="F8" i="8"/>
  <c r="F9" i="8"/>
  <c r="F10" i="8"/>
  <c r="F11" i="8"/>
  <c r="F12" i="8"/>
  <c r="F13" i="8"/>
  <c r="F14" i="8"/>
  <c r="F15" i="8"/>
  <c r="F6" i="8"/>
  <c r="H6" i="8"/>
  <c r="G24" i="9"/>
  <c r="F24" i="9"/>
  <c r="E24" i="9"/>
  <c r="D24" i="9"/>
  <c r="O22" i="9"/>
  <c r="P22" i="9" s="1"/>
  <c r="N22" i="9"/>
  <c r="M22" i="9"/>
  <c r="L22" i="9"/>
  <c r="J22" i="9"/>
  <c r="I22" i="9"/>
  <c r="K22" i="9" s="1"/>
  <c r="H22" i="9"/>
  <c r="O21" i="9"/>
  <c r="P21" i="9" s="1"/>
  <c r="N21" i="9"/>
  <c r="M21" i="9"/>
  <c r="L21" i="9"/>
  <c r="J21" i="9"/>
  <c r="K21" i="9" s="1"/>
  <c r="I21" i="9"/>
  <c r="H21" i="9"/>
  <c r="P20" i="9"/>
  <c r="Q20" i="9" s="1"/>
  <c r="S20" i="9" s="1"/>
  <c r="O20" i="9"/>
  <c r="M20" i="9"/>
  <c r="L20" i="9"/>
  <c r="J20" i="9"/>
  <c r="K20" i="9" s="1"/>
  <c r="I20" i="9"/>
  <c r="H20" i="9"/>
  <c r="N20" i="9" s="1"/>
  <c r="P19" i="9"/>
  <c r="Q19" i="9" s="1"/>
  <c r="S19" i="9" s="1"/>
  <c r="O19" i="9"/>
  <c r="M19" i="9"/>
  <c r="L19" i="9"/>
  <c r="J19" i="9"/>
  <c r="I19" i="9"/>
  <c r="H19" i="9"/>
  <c r="N19" i="9" s="1"/>
  <c r="O18" i="9"/>
  <c r="P18" i="9" s="1"/>
  <c r="N18" i="9"/>
  <c r="M18" i="9"/>
  <c r="L18" i="9"/>
  <c r="J18" i="9"/>
  <c r="I18" i="9"/>
  <c r="K18" i="9" s="1"/>
  <c r="H18" i="9"/>
  <c r="O17" i="9"/>
  <c r="P17" i="9" s="1"/>
  <c r="N17" i="9"/>
  <c r="M17" i="9"/>
  <c r="M24" i="9" s="1"/>
  <c r="C40" i="9" s="1"/>
  <c r="D40" i="9" s="1"/>
  <c r="L17" i="9"/>
  <c r="L24" i="9" s="1"/>
  <c r="C39" i="9" s="1"/>
  <c r="D39" i="9" s="1"/>
  <c r="J17" i="9"/>
  <c r="K17" i="9" s="1"/>
  <c r="I17" i="9"/>
  <c r="H17" i="9"/>
  <c r="P16" i="9"/>
  <c r="R16" i="9" s="1"/>
  <c r="O16" i="9"/>
  <c r="O24" i="9" s="1"/>
  <c r="M16" i="9"/>
  <c r="L16" i="9"/>
  <c r="J16" i="9"/>
  <c r="K16" i="9" s="1"/>
  <c r="I16" i="9"/>
  <c r="I24" i="9" s="1"/>
  <c r="H16" i="9"/>
  <c r="H24" i="9" s="1"/>
  <c r="I14" i="9"/>
  <c r="I25" i="9" s="1"/>
  <c r="F14" i="9"/>
  <c r="F25" i="9" s="1"/>
  <c r="D14" i="9"/>
  <c r="D25" i="9" s="1"/>
  <c r="M13" i="9"/>
  <c r="L13" i="9"/>
  <c r="J13" i="9"/>
  <c r="K13" i="9" s="1"/>
  <c r="I13" i="9"/>
  <c r="H13" i="9"/>
  <c r="N13" i="9" s="1"/>
  <c r="G13" i="9"/>
  <c r="O13" i="9" s="1"/>
  <c r="P13" i="9" s="1"/>
  <c r="E13" i="9"/>
  <c r="M12" i="9"/>
  <c r="L12" i="9"/>
  <c r="J12" i="9"/>
  <c r="K12" i="9" s="1"/>
  <c r="I12" i="9"/>
  <c r="H12" i="9"/>
  <c r="N12" i="9" s="1"/>
  <c r="G12" i="9"/>
  <c r="O12" i="9" s="1"/>
  <c r="P12" i="9" s="1"/>
  <c r="E12" i="9"/>
  <c r="M11" i="9"/>
  <c r="L11" i="9"/>
  <c r="J11" i="9"/>
  <c r="K11" i="9" s="1"/>
  <c r="I11" i="9"/>
  <c r="H11" i="9"/>
  <c r="N11" i="9" s="1"/>
  <c r="G11" i="9"/>
  <c r="O11" i="9" s="1"/>
  <c r="P11" i="9" s="1"/>
  <c r="E11" i="9"/>
  <c r="M10" i="9"/>
  <c r="L10" i="9"/>
  <c r="J10" i="9"/>
  <c r="K10" i="9" s="1"/>
  <c r="I10" i="9"/>
  <c r="H10" i="9"/>
  <c r="N10" i="9" s="1"/>
  <c r="G10" i="9"/>
  <c r="O10" i="9" s="1"/>
  <c r="P10" i="9" s="1"/>
  <c r="E10" i="9"/>
  <c r="M9" i="9"/>
  <c r="L9" i="9"/>
  <c r="J9" i="9"/>
  <c r="K9" i="9" s="1"/>
  <c r="I9" i="9"/>
  <c r="H9" i="9"/>
  <c r="N9" i="9" s="1"/>
  <c r="G9" i="9"/>
  <c r="O9" i="9" s="1"/>
  <c r="P9" i="9" s="1"/>
  <c r="E9" i="9"/>
  <c r="M8" i="9"/>
  <c r="L8" i="9"/>
  <c r="J8" i="9"/>
  <c r="K8" i="9" s="1"/>
  <c r="I8" i="9"/>
  <c r="H8" i="9"/>
  <c r="N8" i="9" s="1"/>
  <c r="G8" i="9"/>
  <c r="O8" i="9" s="1"/>
  <c r="P8" i="9" s="1"/>
  <c r="E8" i="9"/>
  <c r="M7" i="9"/>
  <c r="L7" i="9"/>
  <c r="J7" i="9"/>
  <c r="K7" i="9" s="1"/>
  <c r="I7" i="9"/>
  <c r="H7" i="9"/>
  <c r="N7" i="9" s="1"/>
  <c r="G7" i="9"/>
  <c r="O7" i="9" s="1"/>
  <c r="P7" i="9" s="1"/>
  <c r="E7" i="9"/>
  <c r="M6" i="9"/>
  <c r="L6" i="9"/>
  <c r="J6" i="9"/>
  <c r="K6" i="9" s="1"/>
  <c r="I6" i="9"/>
  <c r="H6" i="9"/>
  <c r="N6" i="9" s="1"/>
  <c r="G6" i="9"/>
  <c r="O6" i="9" s="1"/>
  <c r="P6" i="9" s="1"/>
  <c r="E6" i="9"/>
  <c r="M5" i="9"/>
  <c r="M14" i="9" s="1"/>
  <c r="L5" i="9"/>
  <c r="L14" i="9" s="1"/>
  <c r="J5" i="9"/>
  <c r="K5" i="9" s="1"/>
  <c r="I5" i="9"/>
  <c r="H5" i="9"/>
  <c r="N5" i="9" s="1"/>
  <c r="G5" i="9"/>
  <c r="O5" i="9" s="1"/>
  <c r="E5" i="9"/>
  <c r="E14" i="9" s="1"/>
  <c r="E25" i="9" s="1"/>
  <c r="H24" i="8" l="1"/>
  <c r="R20" i="9"/>
  <c r="T19" i="9"/>
  <c r="P24" i="9"/>
  <c r="R22" i="9"/>
  <c r="Q22" i="9"/>
  <c r="S22" i="9" s="1"/>
  <c r="T22" i="9" s="1"/>
  <c r="R13" i="9"/>
  <c r="Q13" i="9"/>
  <c r="S13" i="9" s="1"/>
  <c r="T13" i="9" s="1"/>
  <c r="U13" i="9" s="1"/>
  <c r="U22" i="9"/>
  <c r="C33" i="9"/>
  <c r="D33" i="9" s="1"/>
  <c r="L25" i="9"/>
  <c r="R8" i="9"/>
  <c r="Q8" i="9"/>
  <c r="S8" i="9" s="1"/>
  <c r="T8" i="9" s="1"/>
  <c r="U8" i="9" s="1"/>
  <c r="N14" i="9"/>
  <c r="R11" i="9"/>
  <c r="Q11" i="9"/>
  <c r="S11" i="9" s="1"/>
  <c r="T11" i="9" s="1"/>
  <c r="U11" i="9" s="1"/>
  <c r="K14" i="9"/>
  <c r="R7" i="9"/>
  <c r="Q7" i="9"/>
  <c r="S7" i="9" s="1"/>
  <c r="T7" i="9" s="1"/>
  <c r="U7" i="9" s="1"/>
  <c r="R18" i="9"/>
  <c r="Q18" i="9"/>
  <c r="S18" i="9" s="1"/>
  <c r="T18" i="9" s="1"/>
  <c r="U18" i="9" s="1"/>
  <c r="O14" i="9"/>
  <c r="O25" i="9" s="1"/>
  <c r="P5" i="9"/>
  <c r="R12" i="9"/>
  <c r="Q12" i="9"/>
  <c r="S12" i="9" s="1"/>
  <c r="T12" i="9" s="1"/>
  <c r="U12" i="9" s="1"/>
  <c r="R10" i="9"/>
  <c r="Q10" i="9"/>
  <c r="S10" i="9" s="1"/>
  <c r="T10" i="9" s="1"/>
  <c r="U10" i="9" s="1"/>
  <c r="R9" i="9"/>
  <c r="Q9" i="9"/>
  <c r="S9" i="9" s="1"/>
  <c r="T9" i="9" s="1"/>
  <c r="U9" i="9" s="1"/>
  <c r="Q21" i="9"/>
  <c r="S21" i="9" s="1"/>
  <c r="T21" i="9" s="1"/>
  <c r="U21" i="9" s="1"/>
  <c r="R21" i="9"/>
  <c r="C34" i="9"/>
  <c r="D34" i="9" s="1"/>
  <c r="M25" i="9"/>
  <c r="R6" i="9"/>
  <c r="Q6" i="9"/>
  <c r="S6" i="9" s="1"/>
  <c r="T6" i="9" s="1"/>
  <c r="U6" i="9" s="1"/>
  <c r="Q17" i="9"/>
  <c r="S17" i="9" s="1"/>
  <c r="T17" i="9" s="1"/>
  <c r="U17" i="9" s="1"/>
  <c r="R17" i="9"/>
  <c r="U19" i="9"/>
  <c r="T20" i="9"/>
  <c r="U20" i="9" s="1"/>
  <c r="J24" i="9"/>
  <c r="G14" i="9"/>
  <c r="G25" i="9" s="1"/>
  <c r="Q16" i="9"/>
  <c r="H14" i="9"/>
  <c r="H25" i="9" s="1"/>
  <c r="J14" i="9"/>
  <c r="J25" i="9" s="1"/>
  <c r="R19" i="9"/>
  <c r="K19" i="9"/>
  <c r="K24" i="9" s="1"/>
  <c r="C38" i="9" s="1"/>
  <c r="D38" i="9" s="1"/>
  <c r="N16" i="9"/>
  <c r="R24" i="9" l="1"/>
  <c r="K25" i="9"/>
  <c r="C32" i="9"/>
  <c r="D32" i="9" s="1"/>
  <c r="Q24" i="9"/>
  <c r="S16" i="9"/>
  <c r="N25" i="9"/>
  <c r="P14" i="9"/>
  <c r="P25" i="9" s="1"/>
  <c r="R5" i="9"/>
  <c r="R14" i="9" s="1"/>
  <c r="Q5" i="9"/>
  <c r="N24" i="9"/>
  <c r="R25" i="9" l="1"/>
  <c r="Q14" i="9"/>
  <c r="Q25" i="9" s="1"/>
  <c r="S5" i="9"/>
  <c r="S24" i="9"/>
  <c r="C37" i="9" s="1"/>
  <c r="D37" i="9" s="1"/>
  <c r="T16" i="9"/>
  <c r="T24" i="9" l="1"/>
  <c r="U16" i="9"/>
  <c r="U24" i="9" s="1"/>
  <c r="C36" i="9" s="1"/>
  <c r="S14" i="9"/>
  <c r="T5" i="9"/>
  <c r="D36" i="9" l="1"/>
  <c r="D41" i="9" s="1"/>
  <c r="C41" i="9"/>
  <c r="T14" i="9"/>
  <c r="T25" i="9" s="1"/>
  <c r="U5" i="9"/>
  <c r="U14" i="9" s="1"/>
  <c r="S25" i="9"/>
  <c r="C31" i="9"/>
  <c r="D31" i="9" s="1"/>
  <c r="C30" i="9" l="1"/>
  <c r="U25" i="9"/>
  <c r="D30" i="9" l="1"/>
  <c r="D35" i="9" s="1"/>
  <c r="D42" i="9" s="1"/>
  <c r="C35" i="9"/>
  <c r="C42" i="9" s="1"/>
  <c r="B6" i="5" l="1"/>
  <c r="E3" i="5"/>
  <c r="B3" i="5" l="1"/>
  <c r="B18" i="4" l="1"/>
  <c r="B12" i="4"/>
  <c r="B6" i="4"/>
  <c r="G8" i="2"/>
  <c r="C10" i="2"/>
  <c r="B9" i="5" l="1"/>
  <c r="F18" i="2" l="1"/>
  <c r="G19" i="2" s="1"/>
  <c r="G21" i="2" s="1" a="1"/>
  <c r="G21" i="2" s="1"/>
  <c r="B1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tc={E92F5E55-9036-4294-86E7-22050DB852F2}</author>
  </authors>
  <commentList>
    <comment ref="A6" authorId="0" shapeId="0" xr:uid="{E92F5E55-9036-4294-86E7-22050DB852F2}">
      <text>
        <t xml:space="preserve">[Threaded comment]
Your version of Excel allows you to read this threaded comment; however, any edits to it will get removed if the file is opened in a newer version of Excel. Learn more: https://go.microsoft.com/fwlink/?linkid=870924
Comment:
    This is the cost of building the factory.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<sst xmlns="http://schemas.openxmlformats.org/spreadsheetml/2006/main" count="304" uniqueCount="275">
  <si>
    <t>(USD)$</t>
  </si>
  <si>
    <t>Interest paid on credit card sales (1.2%)</t>
  </si>
  <si>
    <t xml:space="preserve">Rent payable </t>
  </si>
  <si>
    <t xml:space="preserve">Salaries </t>
  </si>
  <si>
    <t>EBIT</t>
  </si>
  <si>
    <t>EBT</t>
  </si>
  <si>
    <t>USD ($)</t>
  </si>
  <si>
    <t>Total D&amp;A</t>
  </si>
  <si>
    <t xml:space="preserve">Break even analysis from the first year of operations </t>
  </si>
  <si>
    <t xml:space="preserve">Fixed cost </t>
  </si>
  <si>
    <t xml:space="preserve">Total Fixed Cost </t>
  </si>
  <si>
    <t xml:space="preserve">Variable Cost </t>
  </si>
  <si>
    <t>Total Variable Cost</t>
  </si>
  <si>
    <t>Revenue</t>
  </si>
  <si>
    <t xml:space="preserve">Total Revenue </t>
  </si>
  <si>
    <t xml:space="preserve">Tax </t>
  </si>
  <si>
    <t xml:space="preserve">Revenue from sales of Product A </t>
  </si>
  <si>
    <t>Revenue from sale of Product B</t>
  </si>
  <si>
    <t xml:space="preserve">These figures have to match </t>
  </si>
  <si>
    <t xml:space="preserve">Financial Ratios </t>
  </si>
  <si>
    <t xml:space="preserve">STAFF COST </t>
  </si>
  <si>
    <t>N0</t>
  </si>
  <si>
    <t>FONCTION</t>
  </si>
  <si>
    <t>Nom</t>
  </si>
  <si>
    <t>Salaire de base/Directors'fees</t>
  </si>
  <si>
    <t>Allocation logement</t>
  </si>
  <si>
    <t>Allocation Transport</t>
  </si>
  <si>
    <t>Allocation de conge</t>
  </si>
  <si>
    <t>Total allocations</t>
  </si>
  <si>
    <t>INSS 5%</t>
  </si>
  <si>
    <t>INSS 13%</t>
  </si>
  <si>
    <t>INSS TOTAL</t>
  </si>
  <si>
    <t>INPP</t>
  </si>
  <si>
    <t>ONEM</t>
  </si>
  <si>
    <t>Salaire avant retenues</t>
  </si>
  <si>
    <t>Salaire imposable</t>
  </si>
  <si>
    <t>Sal Imp FC</t>
  </si>
  <si>
    <t>Ipr FC</t>
  </si>
  <si>
    <t>30% Sal imp Vérification</t>
  </si>
  <si>
    <t>IPR $</t>
  </si>
  <si>
    <t>Total Retenues</t>
  </si>
  <si>
    <t>Net à payer</t>
  </si>
  <si>
    <t>BAREME IMPOT EN FRANCS CONGOLAIS</t>
  </si>
  <si>
    <t xml:space="preserve">STAFF MEMBERS </t>
  </si>
  <si>
    <t>Managing director</t>
  </si>
  <si>
    <t>Agronomist</t>
  </si>
  <si>
    <t>Screenhouse attendant</t>
  </si>
  <si>
    <t>%</t>
  </si>
  <si>
    <t>Tranches Mensuelles</t>
  </si>
  <si>
    <t xml:space="preserve">Revenu de la </t>
  </si>
  <si>
    <t>IPR de la</t>
  </si>
  <si>
    <t>Cumul</t>
  </si>
  <si>
    <t>Tranche</t>
  </si>
  <si>
    <t>IPR</t>
  </si>
  <si>
    <t xml:space="preserve">Warehouse manager </t>
  </si>
  <si>
    <t>de</t>
  </si>
  <si>
    <t>à</t>
  </si>
  <si>
    <t>Finance and admin officer</t>
  </si>
  <si>
    <t>Security</t>
  </si>
  <si>
    <t>Sub-total</t>
  </si>
  <si>
    <t>BOARD OF DIRECTORS</t>
  </si>
  <si>
    <t>Director and Investor</t>
  </si>
  <si>
    <t>Director</t>
  </si>
  <si>
    <t>Director or Investor</t>
  </si>
  <si>
    <t>Grand total</t>
  </si>
  <si>
    <t>SUMMARY</t>
  </si>
  <si>
    <t>Categoty</t>
  </si>
  <si>
    <t>Amount/month in $</t>
  </si>
  <si>
    <t>Amount/year</t>
  </si>
  <si>
    <t xml:space="preserve">Net Salary total for  staff </t>
  </si>
  <si>
    <t>IPR (staff)</t>
  </si>
  <si>
    <t>CNSS (Staff)</t>
  </si>
  <si>
    <t>INPP (Staff)</t>
  </si>
  <si>
    <t>ONEM (Staff)</t>
  </si>
  <si>
    <t xml:space="preserve">Sub-total </t>
  </si>
  <si>
    <t>Directors'fees</t>
  </si>
  <si>
    <t>IPR ( Directors)</t>
  </si>
  <si>
    <t>CNSS (Directors)</t>
  </si>
  <si>
    <t>INPP (Directors)</t>
  </si>
  <si>
    <t>ONEM (Directors)</t>
  </si>
  <si>
    <t>Total payroll expenses</t>
  </si>
  <si>
    <t xml:space="preserve">Total </t>
  </si>
  <si>
    <t xml:space="preserve">Total asset depreciation </t>
  </si>
  <si>
    <t xml:space="preserve">CASSAVA PROCESSING UNIT. </t>
  </si>
  <si>
    <t xml:space="preserve">Factory flow: Processing </t>
  </si>
  <si>
    <t>Cost/persone/day USD</t>
  </si>
  <si>
    <t>Total</t>
  </si>
  <si>
    <t xml:space="preserve">Equiment and tools </t>
  </si>
  <si>
    <t xml:space="preserve">Operational tools and equipment </t>
  </si>
  <si>
    <t xml:space="preserve">Operational overheads assumptions </t>
  </si>
  <si>
    <t xml:space="preserve">  </t>
  </si>
  <si>
    <t xml:space="preserve">Management </t>
  </si>
  <si>
    <t>Capacité d'entrée quotidienne d'usine (MT)</t>
  </si>
  <si>
    <t>Capacité de production quotidienne de l'usine (MT)</t>
  </si>
  <si>
    <t>Coût matière première à la livraison USD/MT</t>
  </si>
  <si>
    <t>Superficie de l'usine en M²</t>
  </si>
  <si>
    <t>Coût de construction de l'usine USD/M²</t>
  </si>
  <si>
    <t>Coût de la main d'œuvre en usine USD/jour</t>
  </si>
  <si>
    <t xml:space="preserve">Jours d'opérations/mois </t>
  </si>
  <si>
    <t>Nombre de jours opérationnels par an</t>
  </si>
  <si>
    <t>Nombre d'équipes de 8 heures par jour (6h-14h) (14h-22h</t>
  </si>
  <si>
    <t>Capacité en mètres cubes de cuves de fermentation X6 (L2,5m*L1m*D1m)</t>
  </si>
  <si>
    <t>Nombre d'heures opérationnelles/an</t>
  </si>
  <si>
    <t>Coût du carburant diesel</t>
  </si>
  <si>
    <t xml:space="preserve">Cuve de trempage et de prélavage 30 mètres cubes </t>
  </si>
  <si>
    <t xml:space="preserve">Lavage et pelage du manioc </t>
  </si>
  <si>
    <t>Machine à râper/pulvériser le manioc</t>
  </si>
  <si>
    <t>Presse à manioc</t>
  </si>
  <si>
    <t xml:space="preserve">Séchoir flash de manioc </t>
  </si>
  <si>
    <t xml:space="preserve">Broyeur à marteaux </t>
  </si>
  <si>
    <t xml:space="preserve">Ensacheuse et semoir </t>
  </si>
  <si>
    <t xml:space="preserve">Main d'oeuvre nécessaire à la réception et au tri </t>
  </si>
  <si>
    <t xml:space="preserve">Main d'oeuvre nécessaire au nettoyage par trempage en cuve de 30 M3 </t>
  </si>
  <si>
    <t>Travail requis pour la fermentation</t>
  </si>
  <si>
    <t>Travail nécessaire pour râper avant de presser</t>
  </si>
  <si>
    <t xml:space="preserve">Main d'œuvre nécessaire au pressage </t>
  </si>
  <si>
    <t>Travail nécessaire pour râper après pressage</t>
  </si>
  <si>
    <t xml:space="preserve">Main d’œuvre requise pour le séchage flash </t>
  </si>
  <si>
    <t xml:space="preserve">Main d'œuvre requise pour le fraisage </t>
  </si>
  <si>
    <t xml:space="preserve">Main d'œuvre nécessaire à l'ensachage et au semis </t>
  </si>
  <si>
    <t>Coût du travail pour la sécurité</t>
  </si>
  <si>
    <t>Coût de la main d'œuvre pour le nettoyage et le balayage (contrôle qualité)</t>
  </si>
  <si>
    <t xml:space="preserve">Directeur d'usine </t>
  </si>
  <si>
    <t xml:space="preserve">Secrétaire administratif. </t>
  </si>
  <si>
    <t>Directeur général</t>
  </si>
  <si>
    <t>Véhicule Toyota Hilux</t>
  </si>
  <si>
    <t>Camion de livraison 25 tonnes</t>
  </si>
  <si>
    <t xml:space="preserve">Motos </t>
  </si>
  <si>
    <t xml:space="preserve">Couteaux pour aider à peler </t>
  </si>
  <si>
    <t>Générateur 100KvA</t>
  </si>
  <si>
    <t>Unité de stockage d'eau 9000ltr</t>
  </si>
  <si>
    <t>Trou de forage</t>
  </si>
  <si>
    <t>Pompe à eau et accessoires</t>
  </si>
  <si>
    <t>Carburant pour véhicule Toyota Hilux</t>
  </si>
  <si>
    <t>Carburant pour camion 25 tonnes</t>
  </si>
  <si>
    <t xml:space="preserve">Carburant pour générateur </t>
  </si>
  <si>
    <t>Carburant pour motos</t>
  </si>
  <si>
    <t>Nombre d'unités</t>
  </si>
  <si>
    <t>capacité unitaire MT/heure</t>
  </si>
  <si>
    <t>capacité unitaire MT/jour</t>
  </si>
  <si>
    <t>capacité unitaire MT/mois</t>
  </si>
  <si>
    <t>capacité unitaire MT/an</t>
  </si>
  <si>
    <t>Capacité totale de traitement MT/an</t>
  </si>
  <si>
    <t>Coût unitaire en USD</t>
  </si>
  <si>
    <t>Coût total en USD</t>
  </si>
  <si>
    <t>Produit final : Farine de manioc fermentée.</t>
  </si>
  <si>
    <t>Installations et machines</t>
  </si>
  <si>
    <t>Principales hypothèses de coûts de production</t>
  </si>
  <si>
    <t>Traitement</t>
  </si>
  <si>
    <t>Coût de la main d'œuvre</t>
  </si>
  <si>
    <t>Nombre de personnes</t>
  </si>
  <si>
    <t>Nombre d'équipes/jour</t>
  </si>
  <si>
    <t>Nombre de jours</t>
  </si>
  <si>
    <t>Coût/personne/jour USD</t>
  </si>
  <si>
    <t>coût de la main d'œuvre par jour USD</t>
  </si>
  <si>
    <t>Coût de la main d'œuvre/mois USD</t>
  </si>
  <si>
    <t>Coût de la main d'œuvre/an USD</t>
  </si>
  <si>
    <t>Nombre d'équipes/ jour</t>
  </si>
  <si>
    <t>Coût unitaire total en USD</t>
  </si>
  <si>
    <t>capacité unitaire en litres</t>
  </si>
  <si>
    <t>Capacité de consommation litres/jour</t>
  </si>
  <si>
    <t>Capacité de consommation Litres/mois</t>
  </si>
  <si>
    <t>Capacité de consommation litres/an</t>
  </si>
  <si>
    <t>Capacité de consommation totale litres/an</t>
  </si>
  <si>
    <t>Prévisions de ventes|Revenus</t>
  </si>
  <si>
    <t>Hypothèses de base</t>
  </si>
  <si>
    <t>Capacité journalière de prise en usine (MT)</t>
  </si>
  <si>
    <t>Taux de transformation du manioc pour Fufu</t>
  </si>
  <si>
    <t>Coût quotidien de la matière première (USD)</t>
  </si>
  <si>
    <t xml:space="preserve"> Production quotidienne totale de manioc de farine de manioc fermentée (Tonnes)</t>
  </si>
  <si>
    <t>Prix ​​du marché de la farine de manioc fermentée USD/MT</t>
  </si>
  <si>
    <t>Production de farine de manioc fermentée</t>
  </si>
  <si>
    <t>Coût d'achat quotidien en USD</t>
  </si>
  <si>
    <t>Coût d'achat mensuel en USD</t>
  </si>
  <si>
    <t>Coût d'achat annuel en USD</t>
  </si>
  <si>
    <t>capacité de production MT/jour</t>
  </si>
  <si>
    <t>Capacité de production MT/mois</t>
  </si>
  <si>
    <t>Capacité de production MT/an</t>
  </si>
  <si>
    <t>Prix ​​du marché en USD/MT</t>
  </si>
  <si>
    <t>Chiffre d'affaires attendu/jour USD</t>
  </si>
  <si>
    <t>Chiffre d'affaires attendu/mois USD</t>
  </si>
  <si>
    <t>Chiffre d'affaires attendu/an USD</t>
  </si>
  <si>
    <t>Onglet 3 - Calcul du coût et de l'amortissement des installations et équipements</t>
  </si>
  <si>
    <t>Actif</t>
  </si>
  <si>
    <t xml:space="preserve">Bâtiment d'usine </t>
  </si>
  <si>
    <t xml:space="preserve">Éplucheur de manioc </t>
  </si>
  <si>
    <t xml:space="preserve">Râpe à manioc </t>
  </si>
  <si>
    <t xml:space="preserve">Moulin à manioc </t>
  </si>
  <si>
    <t xml:space="preserve">Presse hydrolique </t>
  </si>
  <si>
    <t>Véhicules 4X4</t>
  </si>
  <si>
    <t>Camion 25 tonnes</t>
  </si>
  <si>
    <t xml:space="preserve">camion 7 tonnes </t>
  </si>
  <si>
    <t xml:space="preserve">Générateur </t>
  </si>
  <si>
    <t xml:space="preserve">Trou de sanglier </t>
  </si>
  <si>
    <t>Cuve de trempage et de prélavage 30 mètres cubes</t>
  </si>
  <si>
    <t>Coût total de construction/achat USD</t>
  </si>
  <si>
    <t>Année d'achat'</t>
  </si>
  <si>
    <t>Durée de vie utile du bien</t>
  </si>
  <si>
    <t>Date de mise hors service des immobilisations</t>
  </si>
  <si>
    <t>Taux d'amortissement</t>
  </si>
  <si>
    <t>Amortissement annuel USD</t>
  </si>
  <si>
    <t>Compte de profits et pertes clôturant la 1ère année d'activité</t>
  </si>
  <si>
    <t>Chiffre d'affaires</t>
  </si>
  <si>
    <t>Revenus des ventes de farine de manioc fermentée</t>
  </si>
  <si>
    <t>Chiffre d'affaires total</t>
  </si>
  <si>
    <t>Coût de production</t>
  </si>
  <si>
    <t xml:space="preserve">Coût d'achat des matières premières  </t>
  </si>
  <si>
    <t xml:space="preserve"> Coût de la main d'œuvre  </t>
  </si>
  <si>
    <t xml:space="preserve"> Coût total de production </t>
  </si>
  <si>
    <t xml:space="preserve"> Bénéfice brut  </t>
  </si>
  <si>
    <t xml:space="preserve"> Dépenses  </t>
  </si>
  <si>
    <t xml:space="preserve"> Outils </t>
  </si>
  <si>
    <t xml:space="preserve"> Sécurité </t>
  </si>
  <si>
    <t xml:space="preserve"> Carburant </t>
  </si>
  <si>
    <t xml:space="preserve"> Salaires de la direction  </t>
  </si>
  <si>
    <t xml:space="preserve"> Dépenses totales (dépenses de fonctionnement) </t>
  </si>
  <si>
    <t xml:space="preserve"> Résultat opérationnel  </t>
  </si>
  <si>
    <t>Moins</t>
  </si>
  <si>
    <t>Dépréciation</t>
  </si>
  <si>
    <t xml:space="preserve"> Amortissement</t>
  </si>
  <si>
    <t>Intérêts sur le financement 18%</t>
  </si>
  <si>
    <t>Impôt de coopération à payer 31%</t>
  </si>
  <si>
    <t>EAT (Revenu net)</t>
  </si>
  <si>
    <t xml:space="preserve">ACTIFS </t>
  </si>
  <si>
    <t xml:space="preserve">Actifs non courants </t>
  </si>
  <si>
    <t>Bâtiment</t>
  </si>
  <si>
    <t xml:space="preserve">Équipement </t>
  </si>
  <si>
    <t xml:space="preserve">Meubles </t>
  </si>
  <si>
    <t xml:space="preserve">Bonne volonté </t>
  </si>
  <si>
    <t>Total des actifs non courants</t>
  </si>
  <si>
    <t xml:space="preserve">Actifs courants </t>
  </si>
  <si>
    <t xml:space="preserve">Inventaires </t>
  </si>
  <si>
    <t xml:space="preserve">Comptes clients </t>
  </si>
  <si>
    <t xml:space="preserve">Trésorerie et équivalents </t>
  </si>
  <si>
    <t>Investissement</t>
  </si>
  <si>
    <t xml:space="preserve">dépenses payées d'avance </t>
  </si>
  <si>
    <t xml:space="preserve">Actif total à court terme </t>
  </si>
  <si>
    <t>Actif total</t>
  </si>
  <si>
    <t>PASSIF</t>
  </si>
  <si>
    <t xml:space="preserve">Passifs non courants </t>
  </si>
  <si>
    <t>Dette à long terme</t>
  </si>
  <si>
    <t>Total des passifs non courants</t>
  </si>
  <si>
    <t xml:space="preserve">Comptes à payer </t>
  </si>
  <si>
    <t xml:space="preserve">Salaires </t>
  </si>
  <si>
    <t>coopérer avec l'impôt</t>
  </si>
  <si>
    <t xml:space="preserve">Total du passif à court terme </t>
  </si>
  <si>
    <t>ÉQUITÉ</t>
  </si>
  <si>
    <t xml:space="preserve">Capitaux propres </t>
  </si>
  <si>
    <t xml:space="preserve">Bénéfice conservé </t>
  </si>
  <si>
    <t xml:space="preserve">Fonds propres totaux </t>
  </si>
  <si>
    <t>Responsabilité totale</t>
  </si>
  <si>
    <t>Bilan 2024</t>
  </si>
  <si>
    <t>Taux de rentabilité</t>
  </si>
  <si>
    <t>Ratio coût des ventes %</t>
  </si>
  <si>
    <t>(coût des ventes/valeur des ventes)*100</t>
  </si>
  <si>
    <t>Le ratio coût des ventes/revenu, également appelé ratio ventes/revenu ou ratio d'efficacité, est une mesure utilisée pour mesurer la productivité ou l'efficacité des opérations commerciales de l'entreprise.</t>
  </si>
  <si>
    <t>Taux de marge bénéficiaire brute en %</t>
  </si>
  <si>
    <t>Marge bénéficiaire brute = (Revenu – Coût des marchandises vendues) / Revenu x 100</t>
  </si>
  <si>
    <t xml:space="preserve">Ce ratio mesurera l’efficacité des performances de l’entreprise. </t>
  </si>
  <si>
    <t xml:space="preserve">Marge bénéficiaire d'exploitation </t>
  </si>
  <si>
    <t> La marge bénéficiaire d'exploitation est un ratio de rentabilité ou de performance qui reflète le pourcentage de profit qu'une entreprise réalise grâce à ses opérations avant de soustraire les impôts et les frais d'intérêt.</t>
  </si>
  <si>
    <t>Taux de marge bénéficiaire nette</t>
  </si>
  <si>
    <t>Marge bénéficiaire nette = Bénéfice net ⁄ Revenu total x 100</t>
  </si>
  <si>
    <t>Cela déterminera quel pourcentage des revenus représente le bénéfice net. à 10 %, cela signifie que pour chaque dollar, l'entreprise réalise 0,10 $ de profit/perte.</t>
  </si>
  <si>
    <t xml:space="preserve">Ratios de solvabilité </t>
  </si>
  <si>
    <t>Ratios de liquidité</t>
  </si>
  <si>
    <t>(actif actuel/passif actuel)</t>
  </si>
  <si>
    <t xml:space="preserve">Ce ratio permet de mesurer la capacité de l'entreprise à payer sa dette à court terme. c'est-à-dire les sous-traitants, etc. Un ratio de liquidité générale de 1,5 indiquerait que l'entreprise dispose de 1,50 $ d'actifs à court terme pour chaque dollar de passif à court terme. </t>
  </si>
  <si>
    <t>Taux d'activité</t>
  </si>
  <si>
    <t>Indique avec quelle efficacité une entreprise exploite les actifs de son bilan pour générer des revenus et des liquidités.</t>
  </si>
  <si>
    <t>Ratios d'endettement</t>
  </si>
  <si>
    <t xml:space="preserve">Ratios de financement  </t>
  </si>
  <si>
    <t xml:space="preserve">Taux de rotation </t>
  </si>
  <si>
    <t xml:space="preserve"> Coût des marchandises vendues / Inventaire moyen.</t>
  </si>
  <si>
    <t>La formule des ratios de rotation des stocks mesure l'efficacité et la rapidité avec lesquelles l'entreprise est capable de vendre l'ancien stock et de le remplacer par un nouveau stock de marchandises.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</si>
</sst>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809]* #,##0.00_-;\-[$£-809]* #,##0.00_-;_-[$£-809]* &quot;-&quot;??_-;_-@_-"/>
    <numFmt numFmtId="165" formatCode="_([$$-409]* #,##0.00_);_([$$-409]* \(#,##0.00\);_([$$-409]* &quot;-&quot;??_);_(@_)"/>
    <numFmt numFmtId="166" formatCode="[$-409]d\-mmm\-yy;@"/>
    <numFmt numFmtId="167" formatCode="0.000"/>
    <numFmt numFmtId="168" formatCode="_-* #,##0_-;\-* #,##0_-;_-* &quot;-&quot;??_-;_-@_-"/>
    <numFmt numFmtId="169" formatCode="&quot;$&quot;#,##0.00"/>
    <numFmt numFmtId="170" formatCode="[$$-409]#,##0.00"/>
  </numFmts>
  <fonts count="2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u val="singleAccounting"/>
      <sz val="11"/>
      <color theme="1"/>
      <name val="Calibri"/>
      <family val="2"/>
      <scheme val="minor"/>
    </font>
    <font>
      <sz val="11"/>
      <name val="Calibri"/>
      <family val="2"/>
      <scheme val="minor"/>
    </font>
    <font>
      <b/>
      <u/>
      <sz val="8"/>
      <color theme="1"/>
      <name val="Arial"/>
      <family val="2"/>
    </font>
    <font>
      <sz val="11"/>
      <color rgb="FF000000"/>
      <name val="Calibri"/>
      <family val="2"/>
      <scheme val="minor"/>
    </font>
    <font>
      <sz val="11"/>
      <color theme="1"/>
      <name val="Arial"/>
      <family val="2"/>
    </font>
    <font>
      <b/>
      <sz val="20"/>
      <color theme="1"/>
      <name val="Calibri"/>
      <family val="2"/>
      <scheme val="minor"/>
    </font>
    <font>
      <sz val="20"/>
      <name val="Calibri"/>
      <family val="2"/>
      <scheme val="minor"/>
    </font>
    <font>
      <b/>
      <sz val="20"/>
      <name val="Calibri"/>
      <family val="2"/>
      <scheme val="minor"/>
    </font>
    <font>
      <b/>
      <u/>
      <sz val="10"/>
      <name val="Arial"/>
      <family val="2"/>
    </font>
    <font>
      <b/>
      <sz val="8"/>
      <name val="Arial"/>
      <family val="2"/>
    </font>
    <font>
      <sz val="8"/>
      <name val="Arial"/>
      <family val="2"/>
    </font>
    <font>
      <b/>
      <sz val="20"/>
      <color theme="0"/>
      <name val="Calibri"/>
      <family val="2"/>
      <scheme val="minor"/>
    </font>
    <font>
      <sz val="20"/>
      <color theme="0"/>
      <name val="Calibri"/>
      <family val="2"/>
      <scheme val="minor"/>
    </font>
    <font>
      <sz val="20"/>
      <color theme="1"/>
      <name val="Calibri"/>
      <family val="2"/>
      <scheme val="minor"/>
    </font>
    <font>
      <sz val="8"/>
      <color rgb="FFFF0000"/>
      <name val="Arial"/>
      <family val="2"/>
    </font>
    <font>
      <sz val="20"/>
      <name val="Calibri (Body)"/>
    </font>
    <font>
      <b/>
      <sz val="11"/>
      <name val="Calibri"/>
      <family val="2"/>
      <scheme val="minor"/>
    </font>
    <font>
      <sz val="12"/>
      <color theme="1"/>
      <name val="Calibri"/>
      <family val="2"/>
      <scheme val="minor"/>
    </font>
    <font>
      <b/>
      <u/>
      <sz val="20"/>
      <color theme="1"/>
      <name val="Calibri"/>
      <family val="2"/>
      <scheme val="minor"/>
    </font>
    <font>
      <b/>
      <sz val="12"/>
      <color theme="1"/>
      <name val="Calibri"/>
      <family val="2"/>
      <scheme val="minor"/>
    </font>
    <font>
      <b/>
      <i/>
      <sz val="20"/>
      <color theme="4"/>
      <name val="Calibri"/>
      <family val="2"/>
      <scheme val="minor"/>
    </font>
    <font>
      <b/>
      <i/>
      <sz val="12"/>
      <color theme="4"/>
      <name val="Calibri"/>
      <family val="2"/>
      <scheme val="minor"/>
    </font>
    <font>
      <i/>
      <sz val="12"/>
      <color theme="4"/>
      <name val="Calibri"/>
      <family val="2"/>
      <scheme val="minor"/>
    </font>
    <font>
      <b/>
      <u/>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FFCC"/>
        <bgColor indexed="64"/>
      </patternFill>
    </fill>
    <fill>
      <patternFill patternType="solid">
        <fgColor theme="0"/>
        <bgColor indexed="64"/>
      </patternFill>
    </fill>
    <fill>
      <patternFill patternType="solid">
        <fgColor rgb="FF0070C0"/>
        <bgColor indexed="64"/>
      </patternFill>
    </fill>
    <fill>
      <patternFill patternType="solid">
        <fgColor rgb="FFFFC000"/>
        <bgColor indexed="64"/>
      </patternFill>
    </fill>
    <fill>
      <patternFill patternType="solid">
        <fgColor rgb="FFFFF5FD"/>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59999389629810485"/>
        <bgColor indexed="64"/>
      </patternFill>
    </fill>
  </fills>
  <borders count="19">
    <border>
      <left/>
      <right/>
      <top/>
      <bottom/>
      <diagonal/>
    </border>
    <border>
      <left/>
      <right/>
      <top style="thin">
        <color auto="1"/>
      </top>
      <bottom style="double">
        <color auto="1"/>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double">
        <color indexed="64"/>
      </bottom>
      <diagonal/>
    </border>
    <border>
      <left style="double">
        <color indexed="64"/>
      </left>
      <right style="double">
        <color indexed="64"/>
      </right>
      <top style="double">
        <color indexed="64"/>
      </top>
      <bottom style="double">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8" fillId="0" borderId="0"/>
  </cellStyleXfs>
  <cellXfs count="211">
    <xf numFmtId="0" fontId="0" fillId="0" borderId="0" xfId="0"/>
    <xf numFmtId="164" fontId="0" fillId="0" borderId="0" xfId="0" applyNumberFormat="1"/>
    <xf numFmtId="165" fontId="0" fillId="0" borderId="0" xfId="1" applyNumberFormat="1" applyFont="1"/>
    <xf numFmtId="165" fontId="0" fillId="0" borderId="0" xfId="0" applyNumberFormat="1"/>
    <xf numFmtId="164" fontId="0" fillId="3" borderId="1" xfId="0" applyNumberFormat="1" applyFill="1" applyBorder="1"/>
    <xf numFmtId="165" fontId="0" fillId="3" borderId="1" xfId="1" applyNumberFormat="1" applyFont="1" applyFill="1" applyBorder="1"/>
    <xf numFmtId="165" fontId="0" fillId="3" borderId="1" xfId="0" applyNumberFormat="1" applyFill="1" applyBorder="1"/>
    <xf numFmtId="164" fontId="4" fillId="0" borderId="0" xfId="0" applyNumberFormat="1" applyFont="1"/>
    <xf numFmtId="165" fontId="2" fillId="0" borderId="0" xfId="0" applyNumberFormat="1" applyFont="1"/>
    <xf numFmtId="164" fontId="3" fillId="3" borderId="1" xfId="0" applyNumberFormat="1" applyFont="1" applyFill="1" applyBorder="1"/>
    <xf numFmtId="165" fontId="3" fillId="3" borderId="1" xfId="1" applyNumberFormat="1" applyFont="1" applyFill="1" applyBorder="1"/>
    <xf numFmtId="164" fontId="3" fillId="3" borderId="1" xfId="0" applyNumberFormat="1" applyFont="1" applyFill="1" applyBorder="1" applyAlignment="1">
      <alignment wrapText="1"/>
    </xf>
    <xf numFmtId="44" fontId="0" fillId="0" borderId="0" xfId="0" applyNumberFormat="1"/>
    <xf numFmtId="44" fontId="0" fillId="4" borderId="2" xfId="0" applyNumberFormat="1" applyFill="1" applyBorder="1"/>
    <xf numFmtId="0" fontId="3" fillId="4" borderId="2" xfId="0" applyFont="1" applyFill="1" applyBorder="1"/>
    <xf numFmtId="0" fontId="3" fillId="0" borderId="0" xfId="0" applyFont="1"/>
    <xf numFmtId="44" fontId="0" fillId="0" borderId="0" xfId="1" applyFont="1"/>
    <xf numFmtId="164" fontId="3" fillId="0" borderId="0" xfId="0" applyNumberFormat="1" applyFont="1"/>
    <xf numFmtId="44" fontId="5" fillId="0" borderId="0" xfId="1" applyFont="1"/>
    <xf numFmtId="44" fontId="3" fillId="0" borderId="0" xfId="1" applyFont="1"/>
    <xf numFmtId="0" fontId="3" fillId="0" borderId="1" xfId="0" applyFont="1" applyBorder="1"/>
    <xf numFmtId="44" fontId="0" fillId="0" borderId="1" xfId="1" applyFont="1" applyBorder="1"/>
    <xf numFmtId="44" fontId="3" fillId="0" borderId="1" xfId="1" applyFont="1" applyBorder="1"/>
    <xf numFmtId="44" fontId="3" fillId="0" borderId="0" xfId="1" applyFont="1" applyBorder="1"/>
    <xf numFmtId="0" fontId="6" fillId="0" borderId="0" xfId="0" applyFont="1"/>
    <xf numFmtId="164" fontId="3" fillId="0" borderId="1" xfId="0" applyNumberFormat="1" applyFont="1" applyBorder="1"/>
    <xf numFmtId="164" fontId="0" fillId="0" borderId="1" xfId="1" applyNumberFormat="1" applyFont="1" applyBorder="1"/>
    <xf numFmtId="44" fontId="0" fillId="2" borderId="1" xfId="1" applyFont="1" applyFill="1" applyBorder="1"/>
    <xf numFmtId="0" fontId="0" fillId="2" borderId="0" xfId="0" applyFill="1"/>
    <xf numFmtId="0" fontId="0" fillId="0" borderId="3" xfId="0" applyBorder="1"/>
    <xf numFmtId="0" fontId="0" fillId="2" borderId="6" xfId="0" applyFill="1" applyBorder="1"/>
    <xf numFmtId="0" fontId="7" fillId="5" borderId="3" xfId="0" applyFont="1" applyFill="1" applyBorder="1"/>
    <xf numFmtId="9" fontId="0" fillId="0" borderId="3" xfId="2" applyFont="1" applyBorder="1"/>
    <xf numFmtId="0" fontId="0" fillId="0" borderId="3" xfId="2" applyNumberFormat="1" applyFont="1" applyBorder="1"/>
    <xf numFmtId="0" fontId="0" fillId="0" borderId="3" xfId="0" applyBorder="1" applyAlignment="1">
      <alignment wrapText="1"/>
    </xf>
    <xf numFmtId="0" fontId="0" fillId="0" borderId="7" xfId="0" applyBorder="1" applyAlignment="1">
      <alignment vertical="top" wrapText="1"/>
    </xf>
    <xf numFmtId="0" fontId="7" fillId="5" borderId="8" xfId="0" applyFont="1" applyFill="1" applyBorder="1"/>
    <xf numFmtId="0" fontId="7" fillId="0" borderId="8" xfId="0" applyFont="1" applyBorder="1" applyAlignment="1">
      <alignment vertical="top" wrapText="1"/>
    </xf>
    <xf numFmtId="0" fontId="7" fillId="0" borderId="9" xfId="0" applyFont="1" applyBorder="1" applyAlignment="1">
      <alignment vertical="top" wrapText="1"/>
    </xf>
    <xf numFmtId="0" fontId="0" fillId="0" borderId="3" xfId="0" applyBorder="1" applyAlignment="1">
      <alignment vertical="top" wrapText="1"/>
    </xf>
    <xf numFmtId="0" fontId="0" fillId="5" borderId="3" xfId="0" applyFill="1" applyBorder="1"/>
    <xf numFmtId="0" fontId="0" fillId="0" borderId="0" xfId="0" applyAlignment="1">
      <alignment wrapText="1"/>
    </xf>
    <xf numFmtId="0" fontId="0" fillId="0" borderId="0" xfId="0" applyAlignment="1">
      <alignment horizontal="left"/>
    </xf>
    <xf numFmtId="0" fontId="0" fillId="0" borderId="0" xfId="0" applyAlignment="1">
      <alignment horizontal="center"/>
    </xf>
    <xf numFmtId="17" fontId="10" fillId="0" borderId="0" xfId="0" applyNumberFormat="1" applyFont="1"/>
    <xf numFmtId="0" fontId="10" fillId="0" borderId="0" xfId="0" applyFont="1"/>
    <xf numFmtId="0" fontId="11" fillId="0" borderId="0" xfId="0" applyFont="1"/>
    <xf numFmtId="166" fontId="11" fillId="0" borderId="0" xfId="0" applyNumberFormat="1" applyFont="1"/>
    <xf numFmtId="10" fontId="0" fillId="0" borderId="0" xfId="2" applyNumberFormat="1" applyFont="1"/>
    <xf numFmtId="0" fontId="10" fillId="7" borderId="3" xfId="0" applyFont="1" applyFill="1" applyBorder="1" applyAlignment="1">
      <alignment textRotation="180"/>
    </xf>
    <xf numFmtId="0" fontId="10" fillId="7" borderId="3" xfId="0" applyFont="1" applyFill="1" applyBorder="1" applyAlignment="1">
      <alignment vertical="center" textRotation="180" wrapText="1"/>
    </xf>
    <xf numFmtId="0" fontId="11" fillId="7" borderId="3" xfId="0" applyFont="1" applyFill="1" applyBorder="1" applyAlignment="1">
      <alignment vertical="center" textRotation="180" wrapText="1"/>
    </xf>
    <xf numFmtId="166" fontId="11" fillId="7" borderId="3" xfId="0" applyNumberFormat="1" applyFont="1" applyFill="1" applyBorder="1" applyAlignment="1">
      <alignment vertical="center" textRotation="180" wrapText="1"/>
    </xf>
    <xf numFmtId="0" fontId="12" fillId="0" borderId="0" xfId="0" applyFont="1"/>
    <xf numFmtId="1" fontId="10" fillId="8" borderId="6" xfId="0" applyNumberFormat="1" applyFont="1" applyFill="1" applyBorder="1" applyAlignment="1">
      <alignment horizontal="center"/>
    </xf>
    <xf numFmtId="0" fontId="10" fillId="8" borderId="3" xfId="0" applyFont="1" applyFill="1" applyBorder="1"/>
    <xf numFmtId="2" fontId="10" fillId="8" borderId="3" xfId="0" applyNumberFormat="1" applyFont="1" applyFill="1" applyBorder="1"/>
    <xf numFmtId="4" fontId="10" fillId="2" borderId="3" xfId="0" applyNumberFormat="1" applyFont="1" applyFill="1" applyBorder="1"/>
    <xf numFmtId="2" fontId="11" fillId="8" borderId="3" xfId="0" applyNumberFormat="1" applyFont="1" applyFill="1" applyBorder="1"/>
    <xf numFmtId="167" fontId="11" fillId="8" borderId="6" xfId="0" applyNumberFormat="1" applyFont="1" applyFill="1" applyBorder="1"/>
    <xf numFmtId="4" fontId="10" fillId="8" borderId="3" xfId="0" applyNumberFormat="1" applyFont="1" applyFill="1" applyBorder="1" applyAlignment="1">
      <alignment wrapText="1"/>
    </xf>
    <xf numFmtId="3" fontId="10" fillId="8" borderId="3" xfId="0" applyNumberFormat="1" applyFont="1" applyFill="1" applyBorder="1" applyAlignment="1">
      <alignment wrapText="1"/>
    </xf>
    <xf numFmtId="2" fontId="11" fillId="8" borderId="6" xfId="0" applyNumberFormat="1" applyFont="1" applyFill="1" applyBorder="1"/>
    <xf numFmtId="4" fontId="10" fillId="8" borderId="6" xfId="0" applyNumberFormat="1" applyFont="1" applyFill="1" applyBorder="1"/>
    <xf numFmtId="3" fontId="11" fillId="8" borderId="3" xfId="0" applyNumberFormat="1" applyFont="1" applyFill="1" applyBorder="1"/>
    <xf numFmtId="10" fontId="13" fillId="0" borderId="3" xfId="2" applyNumberFormat="1" applyFont="1" applyBorder="1" applyAlignment="1">
      <alignment horizontal="center"/>
    </xf>
    <xf numFmtId="0" fontId="13" fillId="0" borderId="3" xfId="0" applyFont="1" applyBorder="1" applyAlignment="1">
      <alignment horizontal="center"/>
    </xf>
    <xf numFmtId="0" fontId="13" fillId="0" borderId="3" xfId="0" applyFont="1" applyBorder="1"/>
    <xf numFmtId="10" fontId="13" fillId="0" borderId="3" xfId="2" applyNumberFormat="1" applyFont="1" applyBorder="1"/>
    <xf numFmtId="4" fontId="10" fillId="8" borderId="3" xfId="0" applyNumberFormat="1" applyFont="1" applyFill="1" applyBorder="1"/>
    <xf numFmtId="10" fontId="0" fillId="0" borderId="3" xfId="2" applyNumberFormat="1" applyFont="1" applyBorder="1"/>
    <xf numFmtId="168" fontId="0" fillId="0" borderId="0" xfId="3" applyNumberFormat="1" applyFont="1"/>
    <xf numFmtId="10" fontId="14" fillId="0" borderId="3" xfId="2" applyNumberFormat="1" applyFont="1" applyFill="1" applyBorder="1" applyAlignment="1">
      <alignment horizontal="center"/>
    </xf>
    <xf numFmtId="168" fontId="14" fillId="0" borderId="3" xfId="3" applyNumberFormat="1" applyFont="1" applyFill="1" applyBorder="1"/>
    <xf numFmtId="168" fontId="14" fillId="0" borderId="3" xfId="3" applyNumberFormat="1" applyFont="1" applyBorder="1"/>
    <xf numFmtId="2" fontId="15" fillId="9" borderId="3" xfId="0" applyNumberFormat="1" applyFont="1" applyFill="1" applyBorder="1"/>
    <xf numFmtId="4" fontId="15" fillId="9" borderId="3" xfId="0" applyNumberFormat="1" applyFont="1" applyFill="1" applyBorder="1"/>
    <xf numFmtId="4" fontId="16" fillId="9" borderId="3" xfId="0" applyNumberFormat="1" applyFont="1" applyFill="1" applyBorder="1"/>
    <xf numFmtId="10" fontId="14" fillId="0" borderId="3" xfId="2" applyNumberFormat="1" applyFont="1" applyBorder="1" applyAlignment="1">
      <alignment horizontal="center"/>
    </xf>
    <xf numFmtId="0" fontId="10" fillId="10" borderId="3" xfId="0" applyFont="1" applyFill="1" applyBorder="1"/>
    <xf numFmtId="169" fontId="17" fillId="10" borderId="3" xfId="0" applyNumberFormat="1" applyFont="1" applyFill="1" applyBorder="1"/>
    <xf numFmtId="4" fontId="10" fillId="10" borderId="3" xfId="0" applyNumberFormat="1" applyFont="1" applyFill="1" applyBorder="1"/>
    <xf numFmtId="2" fontId="10" fillId="10" borderId="3" xfId="0" applyNumberFormat="1" applyFont="1" applyFill="1" applyBorder="1"/>
    <xf numFmtId="2" fontId="11" fillId="10" borderId="3" xfId="0" applyNumberFormat="1" applyFont="1" applyFill="1" applyBorder="1"/>
    <xf numFmtId="167" fontId="11" fillId="10" borderId="6" xfId="0" applyNumberFormat="1" applyFont="1" applyFill="1" applyBorder="1"/>
    <xf numFmtId="4" fontId="10" fillId="10" borderId="3" xfId="0" applyNumberFormat="1" applyFont="1" applyFill="1" applyBorder="1" applyAlignment="1">
      <alignment wrapText="1"/>
    </xf>
    <xf numFmtId="3" fontId="10" fillId="10" borderId="3" xfId="0" applyNumberFormat="1" applyFont="1" applyFill="1" applyBorder="1" applyAlignment="1">
      <alignment wrapText="1"/>
    </xf>
    <xf numFmtId="2" fontId="11" fillId="10" borderId="6" xfId="0" applyNumberFormat="1" applyFont="1" applyFill="1" applyBorder="1"/>
    <xf numFmtId="4" fontId="10" fillId="10" borderId="6" xfId="0" applyNumberFormat="1" applyFont="1" applyFill="1" applyBorder="1"/>
    <xf numFmtId="3" fontId="11" fillId="10" borderId="3" xfId="0" applyNumberFormat="1" applyFont="1" applyFill="1" applyBorder="1"/>
    <xf numFmtId="0" fontId="0" fillId="10" borderId="0" xfId="0" applyFill="1"/>
    <xf numFmtId="10" fontId="18" fillId="0" borderId="3" xfId="2" applyNumberFormat="1" applyFont="1" applyBorder="1" applyAlignment="1">
      <alignment horizontal="center"/>
    </xf>
    <xf numFmtId="168" fontId="18" fillId="0" borderId="3" xfId="3" applyNumberFormat="1" applyFont="1" applyBorder="1"/>
    <xf numFmtId="0" fontId="14" fillId="0" borderId="3" xfId="0" applyFont="1" applyBorder="1"/>
    <xf numFmtId="10" fontId="14" fillId="0" borderId="3" xfId="2" applyNumberFormat="1" applyFont="1" applyBorder="1"/>
    <xf numFmtId="1" fontId="10" fillId="8" borderId="3" xfId="0" applyNumberFormat="1" applyFont="1" applyFill="1" applyBorder="1" applyAlignment="1">
      <alignment horizontal="center"/>
    </xf>
    <xf numFmtId="169" fontId="19" fillId="10" borderId="3" xfId="0" applyNumberFormat="1" applyFont="1" applyFill="1" applyBorder="1"/>
    <xf numFmtId="0" fontId="5" fillId="10" borderId="0" xfId="0" applyFont="1" applyFill="1"/>
    <xf numFmtId="0" fontId="5" fillId="0" borderId="0" xfId="0" applyFont="1"/>
    <xf numFmtId="169" fontId="10" fillId="10" borderId="3" xfId="0" applyNumberFormat="1" applyFont="1" applyFill="1" applyBorder="1"/>
    <xf numFmtId="1" fontId="5" fillId="8" borderId="3" xfId="0" applyNumberFormat="1" applyFont="1" applyFill="1" applyBorder="1" applyAlignment="1">
      <alignment horizontal="center"/>
    </xf>
    <xf numFmtId="0" fontId="5" fillId="10" borderId="3" xfId="0" applyFont="1" applyFill="1" applyBorder="1"/>
    <xf numFmtId="169" fontId="0" fillId="10" borderId="3" xfId="0" applyNumberFormat="1" applyFill="1" applyBorder="1"/>
    <xf numFmtId="4" fontId="5" fillId="10" borderId="3" xfId="0" applyNumberFormat="1" applyFont="1" applyFill="1" applyBorder="1"/>
    <xf numFmtId="2" fontId="5" fillId="10" borderId="3" xfId="0" applyNumberFormat="1" applyFont="1" applyFill="1" applyBorder="1"/>
    <xf numFmtId="2" fontId="20" fillId="10" borderId="3" xfId="0" applyNumberFormat="1" applyFont="1" applyFill="1" applyBorder="1"/>
    <xf numFmtId="167" fontId="20" fillId="10" borderId="6" xfId="0" applyNumberFormat="1" applyFont="1" applyFill="1" applyBorder="1"/>
    <xf numFmtId="4" fontId="5" fillId="10" borderId="3" xfId="0" applyNumberFormat="1" applyFont="1" applyFill="1" applyBorder="1" applyAlignment="1">
      <alignment wrapText="1"/>
    </xf>
    <xf numFmtId="3" fontId="5" fillId="10" borderId="3" xfId="0" applyNumberFormat="1" applyFont="1" applyFill="1" applyBorder="1" applyAlignment="1">
      <alignment wrapText="1"/>
    </xf>
    <xf numFmtId="2" fontId="20" fillId="10" borderId="6" xfId="0" applyNumberFormat="1" applyFont="1" applyFill="1" applyBorder="1"/>
    <xf numFmtId="4" fontId="5" fillId="10" borderId="6" xfId="0" applyNumberFormat="1" applyFont="1" applyFill="1" applyBorder="1"/>
    <xf numFmtId="3" fontId="20" fillId="10" borderId="3" xfId="0" applyNumberFormat="1" applyFont="1" applyFill="1" applyBorder="1"/>
    <xf numFmtId="4" fontId="10" fillId="7" borderId="6" xfId="0" applyNumberFormat="1" applyFont="1" applyFill="1" applyBorder="1"/>
    <xf numFmtId="4" fontId="11" fillId="7" borderId="12" xfId="0" applyNumberFormat="1" applyFont="1" applyFill="1" applyBorder="1" applyAlignment="1">
      <alignment horizontal="center"/>
    </xf>
    <xf numFmtId="4" fontId="10" fillId="7" borderId="12" xfId="0" applyNumberFormat="1" applyFont="1" applyFill="1" applyBorder="1" applyAlignment="1">
      <alignment horizontal="center"/>
    </xf>
    <xf numFmtId="4" fontId="5" fillId="0" borderId="0" xfId="0" applyNumberFormat="1" applyFont="1" applyAlignment="1">
      <alignment horizontal="center"/>
    </xf>
    <xf numFmtId="4" fontId="5" fillId="0" borderId="0" xfId="0" applyNumberFormat="1" applyFont="1"/>
    <xf numFmtId="4" fontId="20" fillId="0" borderId="0" xfId="0" applyNumberFormat="1" applyFont="1" applyAlignment="1">
      <alignment horizontal="center"/>
    </xf>
    <xf numFmtId="0" fontId="21" fillId="0" borderId="0" xfId="0" applyFont="1"/>
    <xf numFmtId="0" fontId="23" fillId="0" borderId="0" xfId="0" applyFont="1"/>
    <xf numFmtId="0" fontId="9" fillId="0" borderId="3" xfId="0" applyFont="1" applyBorder="1"/>
    <xf numFmtId="4" fontId="21" fillId="0" borderId="0" xfId="0" applyNumberFormat="1" applyFont="1"/>
    <xf numFmtId="0" fontId="17" fillId="0" borderId="3" xfId="0" applyFont="1" applyBorder="1"/>
    <xf numFmtId="4" fontId="17" fillId="0" borderId="3" xfId="0" applyNumberFormat="1" applyFont="1" applyBorder="1"/>
    <xf numFmtId="0" fontId="24" fillId="0" borderId="3" xfId="0" applyFont="1" applyBorder="1"/>
    <xf numFmtId="170" fontId="24" fillId="0" borderId="3" xfId="0" applyNumberFormat="1" applyFont="1" applyBorder="1"/>
    <xf numFmtId="0" fontId="25" fillId="0" borderId="0" xfId="0" applyFont="1"/>
    <xf numFmtId="0" fontId="26" fillId="0" borderId="0" xfId="0" applyFont="1"/>
    <xf numFmtId="4" fontId="9" fillId="0" borderId="3" xfId="0" applyNumberFormat="1" applyFont="1" applyBorder="1"/>
    <xf numFmtId="0" fontId="9" fillId="0" borderId="7" xfId="0" applyFont="1" applyBorder="1"/>
    <xf numFmtId="4" fontId="9" fillId="0" borderId="7" xfId="0" applyNumberFormat="1" applyFont="1" applyBorder="1"/>
    <xf numFmtId="0" fontId="24" fillId="0" borderId="0" xfId="0" applyFont="1"/>
    <xf numFmtId="170" fontId="24" fillId="0" borderId="0" xfId="0" applyNumberFormat="1" applyFont="1"/>
    <xf numFmtId="170" fontId="24" fillId="0" borderId="13" xfId="0" applyNumberFormat="1" applyFont="1" applyBorder="1"/>
    <xf numFmtId="0" fontId="9" fillId="0" borderId="14" xfId="0" applyFont="1" applyBorder="1"/>
    <xf numFmtId="170" fontId="9" fillId="0" borderId="14" xfId="0" applyNumberFormat="1" applyFont="1" applyBorder="1"/>
    <xf numFmtId="170" fontId="0" fillId="0" borderId="0" xfId="0" applyNumberFormat="1"/>
    <xf numFmtId="0" fontId="0" fillId="0" borderId="1" xfId="0" applyBorder="1"/>
    <xf numFmtId="0" fontId="0" fillId="0" borderId="11" xfId="0" applyBorder="1"/>
    <xf numFmtId="0" fontId="0" fillId="0" borderId="11" xfId="0" applyBorder="1" applyAlignment="1">
      <alignment horizontal="center" wrapText="1"/>
    </xf>
    <xf numFmtId="0" fontId="0" fillId="0" borderId="11" xfId="0" applyBorder="1" applyAlignment="1">
      <alignment horizontal="center"/>
    </xf>
    <xf numFmtId="0" fontId="0" fillId="0" borderId="10" xfId="0" applyBorder="1"/>
    <xf numFmtId="10" fontId="0" fillId="0" borderId="0" xfId="0" applyNumberFormat="1" applyAlignment="1">
      <alignment horizontal="center"/>
    </xf>
    <xf numFmtId="0" fontId="0" fillId="0" borderId="0" xfId="0" applyAlignment="1">
      <alignment horizontal="center" wrapText="1"/>
    </xf>
    <xf numFmtId="2" fontId="0" fillId="0" borderId="0" xfId="0" applyNumberFormat="1"/>
    <xf numFmtId="9" fontId="0" fillId="0" borderId="0" xfId="0" applyNumberFormat="1" applyAlignment="1">
      <alignment horizontal="right"/>
    </xf>
    <xf numFmtId="165" fontId="0" fillId="0" borderId="0" xfId="1" applyNumberFormat="1" applyFont="1" applyFill="1"/>
    <xf numFmtId="0" fontId="0" fillId="0" borderId="0" xfId="0" applyAlignment="1">
      <alignment vertical="top" wrapText="1"/>
    </xf>
    <xf numFmtId="2" fontId="0" fillId="0" borderId="0" xfId="0" applyNumberFormat="1" applyAlignment="1">
      <alignment vertical="top" wrapText="1"/>
    </xf>
    <xf numFmtId="1" fontId="0" fillId="0" borderId="0" xfId="0" applyNumberFormat="1"/>
    <xf numFmtId="0" fontId="0" fillId="0" borderId="0" xfId="0" applyAlignment="1">
      <alignment vertical="top"/>
    </xf>
    <xf numFmtId="0" fontId="0" fillId="0" borderId="11" xfId="0" applyBorder="1" applyAlignment="1">
      <alignment vertical="top" wrapText="1"/>
    </xf>
    <xf numFmtId="1" fontId="0" fillId="0" borderId="11" xfId="0" applyNumberFormat="1" applyBorder="1"/>
    <xf numFmtId="0" fontId="0" fillId="0" borderId="11" xfId="0" applyBorder="1" applyAlignment="1">
      <alignment wrapText="1"/>
    </xf>
    <xf numFmtId="1" fontId="0" fillId="0" borderId="11" xfId="0" applyNumberFormat="1" applyBorder="1" applyAlignment="1">
      <alignment vertical="top" wrapText="1"/>
    </xf>
    <xf numFmtId="2" fontId="0" fillId="0" borderId="11" xfId="0" applyNumberFormat="1" applyBorder="1"/>
    <xf numFmtId="2" fontId="0" fillId="0" borderId="10" xfId="0" applyNumberFormat="1" applyBorder="1"/>
    <xf numFmtId="0" fontId="0" fillId="0" borderId="0" xfId="0" applyAlignment="1">
      <alignment horizontal="center" vertical="top" wrapText="1"/>
    </xf>
    <xf numFmtId="0" fontId="0" fillId="0" borderId="10" xfId="0" applyBorder="1" applyAlignment="1">
      <alignment vertical="top" wrapText="1"/>
    </xf>
    <xf numFmtId="0" fontId="27" fillId="0" borderId="0" xfId="0" applyFont="1"/>
    <xf numFmtId="9" fontId="0" fillId="0" borderId="0" xfId="0" applyNumberFormat="1"/>
    <xf numFmtId="165" fontId="0" fillId="0" borderId="0" xfId="1" applyNumberFormat="1" applyFont="1" applyFill="1" applyBorder="1"/>
    <xf numFmtId="44" fontId="0" fillId="0" borderId="0" xfId="1" applyFont="1" applyFill="1" applyBorder="1"/>
    <xf numFmtId="164" fontId="3" fillId="0" borderId="0" xfId="0" applyNumberFormat="1" applyFont="1" applyAlignment="1">
      <alignment wrapText="1"/>
    </xf>
    <xf numFmtId="165" fontId="3" fillId="0" borderId="0" xfId="1" applyNumberFormat="1" applyFont="1" applyFill="1" applyBorder="1"/>
    <xf numFmtId="0" fontId="0" fillId="0" borderId="0" xfId="0" applyAlignment="1">
      <alignment horizontal="center" vertical="center"/>
    </xf>
    <xf numFmtId="2" fontId="0" fillId="0" borderId="0" xfId="0" applyNumberFormat="1" applyAlignment="1">
      <alignment vertical="center"/>
    </xf>
    <xf numFmtId="0" fontId="0" fillId="0" borderId="11" xfId="0" applyBorder="1" applyAlignment="1">
      <alignment horizontal="left"/>
    </xf>
    <xf numFmtId="0" fontId="0" fillId="0" borderId="0" xfId="0" applyAlignment="1">
      <alignment horizontal="left" wrapText="1"/>
    </xf>
    <xf numFmtId="0" fontId="7" fillId="0" borderId="3" xfId="0" applyFont="1" applyBorder="1" applyAlignment="1">
      <alignment wrapText="1"/>
    </xf>
    <xf numFmtId="0" fontId="0" fillId="0" borderId="0" xfId="0" applyAlignment="1">
      <alignment horizontal="left"/>
    </xf>
    <xf numFmtId="0" fontId="0" fillId="12" borderId="4" xfId="0" applyFill="1" applyBorder="1" applyAlignment="1">
      <alignment horizontal="center"/>
    </xf>
    <xf numFmtId="0" fontId="0" fillId="12" borderId="10" xfId="0" applyFill="1" applyBorder="1" applyAlignment="1">
      <alignment horizontal="center"/>
    </xf>
    <xf numFmtId="0" fontId="0" fillId="12" borderId="5" xfId="0" applyFill="1" applyBorder="1" applyAlignment="1">
      <alignment horizontal="center"/>
    </xf>
    <xf numFmtId="0" fontId="0" fillId="0" borderId="0" xfId="0" applyAlignment="1">
      <alignment horizontal="left" vertical="top"/>
    </xf>
    <xf numFmtId="0" fontId="0" fillId="4" borderId="4" xfId="0" applyFill="1" applyBorder="1" applyAlignment="1">
      <alignment horizontal="center"/>
    </xf>
    <xf numFmtId="0" fontId="0" fillId="4" borderId="10" xfId="0" applyFill="1" applyBorder="1" applyAlignment="1">
      <alignment horizontal="center"/>
    </xf>
    <xf numFmtId="0" fontId="0" fillId="4" borderId="5" xfId="0" applyFill="1" applyBorder="1" applyAlignment="1">
      <alignment horizontal="center"/>
    </xf>
    <xf numFmtId="0" fontId="0" fillId="0" borderId="0" xfId="0" applyAlignment="1">
      <alignment horizontal="center" vertical="top"/>
    </xf>
    <xf numFmtId="0" fontId="0" fillId="0" borderId="15" xfId="0" applyBorder="1" applyAlignment="1">
      <alignment horizontal="center" vertical="top"/>
    </xf>
    <xf numFmtId="0" fontId="3" fillId="6" borderId="16" xfId="0" applyFont="1" applyFill="1" applyBorder="1" applyAlignment="1">
      <alignment horizontal="center"/>
    </xf>
    <xf numFmtId="0" fontId="3" fillId="6" borderId="17" xfId="0" applyFont="1" applyFill="1" applyBorder="1" applyAlignment="1">
      <alignment horizontal="center"/>
    </xf>
    <xf numFmtId="0" fontId="3" fillId="6" borderId="18" xfId="0" applyFont="1" applyFill="1" applyBorder="1" applyAlignment="1">
      <alignment horizontal="center"/>
    </xf>
    <xf numFmtId="0" fontId="3" fillId="11" borderId="4" xfId="0" applyFont="1" applyFill="1" applyBorder="1" applyAlignment="1">
      <alignment horizontal="center"/>
    </xf>
    <xf numFmtId="0" fontId="3" fillId="11" borderId="10" xfId="0" applyFont="1" applyFill="1" applyBorder="1" applyAlignment="1">
      <alignment horizontal="center"/>
    </xf>
    <xf numFmtId="0" fontId="3" fillId="11" borderId="5" xfId="0" applyFont="1" applyFill="1" applyBorder="1" applyAlignment="1">
      <alignment horizontal="center"/>
    </xf>
    <xf numFmtId="0" fontId="0" fillId="13" borderId="16" xfId="0" applyFill="1" applyBorder="1" applyAlignment="1">
      <alignment horizontal="center"/>
    </xf>
    <xf numFmtId="0" fontId="0" fillId="13" borderId="17" xfId="0" applyFill="1" applyBorder="1" applyAlignment="1">
      <alignment horizontal="center"/>
    </xf>
    <xf numFmtId="0" fontId="0" fillId="13" borderId="18" xfId="0" applyFill="1" applyBorder="1" applyAlignment="1">
      <alignment horizontal="center"/>
    </xf>
    <xf numFmtId="0" fontId="0" fillId="14" borderId="16" xfId="0" applyFill="1" applyBorder="1" applyAlignment="1">
      <alignment horizontal="center" wrapText="1"/>
    </xf>
    <xf numFmtId="0" fontId="0" fillId="14" borderId="17" xfId="0" applyFill="1" applyBorder="1" applyAlignment="1">
      <alignment horizontal="center" wrapText="1"/>
    </xf>
    <xf numFmtId="0" fontId="0" fillId="14" borderId="18" xfId="0" applyFill="1" applyBorder="1" applyAlignment="1">
      <alignment horizontal="center" wrapText="1"/>
    </xf>
    <xf numFmtId="0" fontId="22" fillId="0" borderId="4" xfId="0" applyFont="1" applyBorder="1" applyAlignment="1">
      <alignment horizontal="center"/>
    </xf>
    <xf numFmtId="0" fontId="22" fillId="0" borderId="10" xfId="0" applyFont="1" applyBorder="1" applyAlignment="1">
      <alignment horizontal="center"/>
    </xf>
    <xf numFmtId="0" fontId="22" fillId="0" borderId="5" xfId="0" applyFont="1" applyBorder="1" applyAlignment="1">
      <alignment horizontal="center"/>
    </xf>
    <xf numFmtId="0" fontId="9" fillId="0" borderId="0" xfId="0" applyFont="1" applyAlignment="1">
      <alignment horizontal="center"/>
    </xf>
    <xf numFmtId="0" fontId="11" fillId="6" borderId="4" xfId="0" applyFont="1" applyFill="1" applyBorder="1" applyAlignment="1">
      <alignment horizontal="center"/>
    </xf>
    <xf numFmtId="0" fontId="11" fillId="6" borderId="10" xfId="0" applyFont="1" applyFill="1" applyBorder="1" applyAlignment="1">
      <alignment horizontal="center"/>
    </xf>
    <xf numFmtId="0" fontId="11" fillId="6" borderId="5" xfId="0" applyFont="1" applyFill="1"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5" fillId="9" borderId="4" xfId="0" applyFont="1" applyFill="1" applyBorder="1" applyAlignment="1">
      <alignment horizontal="left"/>
    </xf>
    <xf numFmtId="0" fontId="15" fillId="9" borderId="5" xfId="0" applyFont="1" applyFill="1" applyBorder="1" applyAlignment="1">
      <alignment horizontal="left"/>
    </xf>
    <xf numFmtId="1" fontId="11" fillId="6" borderId="4" xfId="0" applyNumberFormat="1" applyFont="1" applyFill="1" applyBorder="1" applyAlignment="1">
      <alignment horizontal="center"/>
    </xf>
    <xf numFmtId="1" fontId="11" fillId="6" borderId="10" xfId="0" applyNumberFormat="1" applyFont="1" applyFill="1" applyBorder="1" applyAlignment="1">
      <alignment horizontal="center"/>
    </xf>
    <xf numFmtId="1" fontId="11" fillId="6" borderId="5" xfId="0" applyNumberFormat="1" applyFont="1" applyFill="1" applyBorder="1" applyAlignment="1">
      <alignment horizontal="center"/>
    </xf>
    <xf numFmtId="4" fontId="10" fillId="7" borderId="4" xfId="0" applyNumberFormat="1" applyFont="1" applyFill="1" applyBorder="1" applyAlignment="1">
      <alignment horizontal="center"/>
    </xf>
    <xf numFmtId="4" fontId="10" fillId="7" borderId="5" xfId="0" applyNumberFormat="1" applyFont="1" applyFill="1" applyBorder="1" applyAlignment="1">
      <alignment horizontal="center"/>
    </xf>
    <xf numFmtId="0" fontId="3" fillId="6" borderId="4" xfId="0" applyFont="1" applyFill="1" applyBorder="1" applyAlignment="1">
      <alignment horizontal="center"/>
    </xf>
    <xf numFmtId="0" fontId="3" fillId="6" borderId="10" xfId="0" applyFont="1" applyFill="1" applyBorder="1" applyAlignment="1">
      <alignment horizontal="center"/>
    </xf>
    <xf numFmtId="0" fontId="3" fillId="6" borderId="5" xfId="0" applyFont="1" applyFill="1" applyBorder="1" applyAlignment="1">
      <alignment horizontal="center"/>
    </xf>
  </cellXfs>
  <cellStyles count="5">
    <cellStyle name="Comma" xfId="3" builtinId="3"/>
    <cellStyle name="Currency" xfId="1" builtinId="4"/>
    <cellStyle name="Normal" xfId="0" builtinId="0"/>
    <cellStyle name="Normal 2 2" xfId="4" xr:uid="{45B3F27D-B894-499D-A3FD-9541B853D3C9}"/>
    <cellStyle name="Percent" xfId="2" builtinId="5"/>
  </cellStyles>
  <dxfs count="0"/>
  <tableStyles count="0" defaultTableStyle="TableStyleMedium2" defaultPivotStyle="PivotStyleLight16"/>
  <colors>
    <mruColors>
      <color rgb="FFFFF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16</xdr:col>
      <xdr:colOff>95249</xdr:colOff>
      <xdr:row>3</xdr:row>
      <xdr:rowOff>28222</xdr:rowOff>
    </xdr:from>
    <xdr:to>
      <xdr:col>22</xdr:col>
      <xdr:colOff>144638</xdr:colOff>
      <xdr:row>23</xdr:row>
      <xdr:rowOff>42334</xdr:rowOff>
    </xdr:to>
    <xdr:sp macro="" textlink="">
      <xdr:nvSpPr>
        <xdr:cNvPr id="2" name="TextBox 1">
          <a:extLst>
            <a:ext uri="{FF2B5EF4-FFF2-40B4-BE49-F238E27FC236}">
              <a16:creationId xmlns:a16="http://schemas.microsoft.com/office/drawing/2014/main" id="{B81D580C-7EDB-7F20-988C-DA6E8FC27FBB}"/>
            </a:ext>
          </a:extLst>
        </xdr:cNvPr>
        <xdr:cNvSpPr txBox="1"/>
      </xdr:nvSpPr>
      <xdr:spPr>
        <a:xfrm>
          <a:off x="12929305" y="589139"/>
          <a:ext cx="3711222" cy="4600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Ratios from a P&amp;L. also</a:t>
          </a:r>
          <a:r>
            <a:rPr lang="en-US" sz="1100" b="0" i="0" baseline="0">
              <a:solidFill>
                <a:schemeClr val="dk1"/>
              </a:solidFill>
              <a:effectLst/>
              <a:latin typeface="+mn-lt"/>
              <a:ea typeface="+mn-ea"/>
              <a:cs typeface="+mn-cs"/>
            </a:rPr>
            <a:t> known as income statement</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(Cost of</a:t>
          </a:r>
          <a:r>
            <a:rPr lang="en-US" sz="1100" b="0" i="0" baseline="0">
              <a:solidFill>
                <a:schemeClr val="dk1"/>
              </a:solidFill>
              <a:effectLst/>
              <a:latin typeface="+mn-lt"/>
              <a:ea typeface="+mn-ea"/>
              <a:cs typeface="+mn-cs"/>
            </a:rPr>
            <a:t> sales ratio) by </a:t>
          </a:r>
          <a:r>
            <a:rPr lang="en-US" sz="1100" b="0" i="0">
              <a:solidFill>
                <a:schemeClr val="dk1"/>
              </a:solidFill>
              <a:effectLst/>
              <a:latin typeface="+mn-lt"/>
              <a:ea typeface="+mn-ea"/>
              <a:cs typeface="+mn-cs"/>
            </a:rPr>
            <a:t>dividing the cost of sales by the total value of sales. Will indicate as a</a:t>
          </a:r>
          <a:r>
            <a:rPr lang="en-US" sz="1100" b="0" i="0" baseline="0">
              <a:solidFill>
                <a:schemeClr val="dk1"/>
              </a:solidFill>
              <a:effectLst/>
              <a:latin typeface="+mn-lt"/>
              <a:ea typeface="+mn-ea"/>
              <a:cs typeface="+mn-cs"/>
            </a:rPr>
            <a:t> % of how much it costs the company to generate revenue. </a:t>
          </a: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(Gross profit margin ratio) This ratio will measure</a:t>
          </a:r>
          <a:r>
            <a:rPr lang="en-US" sz="1100" b="0" i="0" baseline="0">
              <a:solidFill>
                <a:schemeClr val="dk1"/>
              </a:solidFill>
              <a:effectLst/>
              <a:latin typeface="+mn-lt"/>
              <a:ea typeface="+mn-ea"/>
              <a:cs typeface="+mn-cs"/>
            </a:rPr>
            <a:t> the performance efficiency of the company.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(Operating profit margin ratio) This determines</a:t>
          </a:r>
          <a:r>
            <a:rPr lang="en-US" sz="1100" b="0" i="0" baseline="0">
              <a:solidFill>
                <a:schemeClr val="dk1"/>
              </a:solidFill>
              <a:effectLst/>
              <a:latin typeface="+mn-lt"/>
              <a:ea typeface="+mn-ea"/>
              <a:cs typeface="+mn-cs"/>
            </a:rPr>
            <a:t> what percentage of revenue is actualy profit before tax and interest. </a:t>
          </a: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(Net profit margin ratio) This</a:t>
          </a:r>
          <a:r>
            <a:rPr lang="en-US" sz="1100" b="0" i="0" baseline="0">
              <a:solidFill>
                <a:schemeClr val="dk1"/>
              </a:solidFill>
              <a:effectLst/>
              <a:latin typeface="+mn-lt"/>
              <a:ea typeface="+mn-ea"/>
              <a:cs typeface="+mn-cs"/>
            </a:rPr>
            <a:t> will determine what percentage of revenue is net profit. at 10% it means for every $1 the company makes $0.10 in profit/loss</a:t>
          </a:r>
          <a:endParaRPr lang="en-US" sz="1100" b="0" i="0">
            <a:solidFill>
              <a:schemeClr val="dk1"/>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(Break-even analysis) How many units have to be sold to cover the running of the business.</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15875</xdr:colOff>
      <xdr:row>4</xdr:row>
      <xdr:rowOff>44450</xdr:rowOff>
    </xdr:from>
    <xdr:to>
      <xdr:col>13</xdr:col>
      <xdr:colOff>6350</xdr:colOff>
      <xdr:row>21</xdr:row>
      <xdr:rowOff>187326</xdr:rowOff>
    </xdr:to>
    <xdr:sp macro="" textlink="">
      <xdr:nvSpPr>
        <xdr:cNvPr id="2" name="TextBox 1">
          <a:extLst>
            <a:ext uri="{FF2B5EF4-FFF2-40B4-BE49-F238E27FC236}">
              <a16:creationId xmlns:a16="http://schemas.microsoft.com/office/drawing/2014/main" id="{7AD039FB-893B-2003-2D7E-987CEFBB0913}"/>
            </a:ext>
          </a:extLst>
        </xdr:cNvPr>
        <xdr:cNvSpPr txBox="1"/>
      </xdr:nvSpPr>
      <xdr:spPr>
        <a:xfrm>
          <a:off x="8216900" y="793750"/>
          <a:ext cx="2428875" cy="3336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 bilan nous permettra de savoir ce que l'entreprise possède et ce qu'elle doit. </a:t>
          </a:r>
        </a:p>
        <a:p>
          <a:r>
            <a:rPr lang="en-US" sz="1100"/>
            <a:t>Les ratios que nous obtenons d'ici sont : </a:t>
          </a:r>
        </a:p>
        <a:p>
          <a:r>
            <a:rPr lang="en-US" sz="1100"/>
            <a:t>(Ratios de Liquidité) ce ratio permet de mesurer sa capacité à payer sa dette à court terme. c'est-à-dire les sous-traitants, etc. </a:t>
          </a:r>
        </a:p>
        <a:p>
          <a:endParaRPr lang="en-US" sz="1100"/>
        </a:p>
        <a:p>
          <a:r>
            <a:rPr lang="en-US" sz="1100"/>
            <a:t>(Ratios d'activité) Calcule l'efficacité avec laquelle les activités de l'entreprise génèrent de la trésorerie. </a:t>
          </a:r>
        </a:p>
        <a:p>
          <a:endParaRPr lang="en-US" sz="1100"/>
        </a:p>
        <a:p>
          <a:r>
            <a:rPr lang="en-US" sz="1100"/>
            <a:t>(Ratios d'endettement) Selon que nos unités de transformation contractent ou non des dettes, cela concerne principalement le financement auprès des banques commerciales.</a:t>
          </a:r>
        </a:p>
        <a:p>
          <a:endParaRPr lang="en-US" sz="1100"/>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na\Downloads\payroll%20mode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Rapport"/>
      <sheetName val="Recap"/>
      <sheetName val="Reconciliation"/>
      <sheetName val="Preparation"/>
      <sheetName val="SALAIRE"/>
      <sheetName val="Nouveau bareme"/>
      <sheetName val="Module1"/>
      <sheetName val="Module2"/>
    </sheetNames>
    <sheetDataSet>
      <sheetData sheetId="0" refreshError="1"/>
      <sheetData sheetId="1" refreshError="1"/>
      <sheetData sheetId="2" refreshError="1"/>
      <sheetData sheetId="3" refreshError="1"/>
      <sheetData sheetId="4" refreshError="1"/>
      <sheetData sheetId="5" refreshError="1">
        <row r="11">
          <cell r="G11">
            <v>0</v>
          </cell>
        </row>
        <row r="12">
          <cell r="B12">
            <v>0.15</v>
          </cell>
          <cell r="C12">
            <v>162001</v>
          </cell>
          <cell r="G12">
            <v>245700</v>
          </cell>
        </row>
        <row r="13">
          <cell r="B13">
            <v>0.3</v>
          </cell>
          <cell r="C13">
            <v>1800001</v>
          </cell>
          <cell r="G13">
            <v>785700</v>
          </cell>
        </row>
        <row r="14">
          <cell r="B14">
            <v>0.4</v>
          </cell>
          <cell r="C14">
            <v>3600001</v>
          </cell>
        </row>
      </sheetData>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Sanginga, Jerry Ntale (IITA)" id="{69036F0F-C08E-4EAE-8975-E5BD6A354F7C}" userId="S::JN.Sanginga@cgiar.org::3d12605f-182b-46cf-817c-904cf3b380e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4-06-10T15:03:07.05" personId="{69036F0F-C08E-4EAE-8975-E5BD6A354F7C}" id="{E92F5E55-9036-4294-86E7-22050DB852F2}">
    <text xml:space="preserve">This is the cost of building the factory. </text>
  </threadedComment>
</ThreadedComment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ECB58-BF4F-4918-8A46-EED19F175AE6}">
  <dimension ref="A1:M75"/>
  <sheetViews>
    <sheetView tabSelected="1" topLeftCell="A62" zoomScale="73" workbookViewId="0">
      <selection activeCell="F23" sqref="F23"/>
    </sheetView>
  </sheetViews>
  <sheetFormatPr defaultRowHeight="14.75"/>
  <cols>
    <col min="1" max="1" width="4.08984375" customWidth="1"/>
    <col min="5" max="5" width="21.6328125" customWidth="1"/>
    <col min="6" max="6" width="9.31640625" customWidth="1"/>
    <col min="7" max="7" width="11.26953125" bestFit="1" customWidth="1"/>
    <col min="8" max="8" width="13.1328125" customWidth="1"/>
    <col min="9" max="9" width="11.453125" customWidth="1"/>
    <col min="10" max="10" width="11.40625" customWidth="1"/>
    <col min="11" max="12" width="13.40625" bestFit="1" customWidth="1"/>
    <col min="13" max="13" width="9.1796875" bestFit="1" customWidth="1"/>
  </cols>
  <sheetData>
    <row r="1" spans="1:13" ht="15.5" thickBot="1">
      <c r="A1" s="180" t="s">
        <v>83</v>
      </c>
      <c r="B1" s="181"/>
      <c r="C1" s="181"/>
      <c r="D1" s="181"/>
      <c r="E1" s="181"/>
      <c r="F1" s="181"/>
      <c r="G1" s="181"/>
      <c r="H1" s="181"/>
      <c r="I1" s="181"/>
      <c r="J1" s="181"/>
      <c r="K1" s="181"/>
      <c r="L1" s="181"/>
      <c r="M1" s="182"/>
    </row>
    <row r="5" spans="1:13">
      <c r="A5" s="183" t="s">
        <v>147</v>
      </c>
      <c r="B5" s="184"/>
      <c r="C5" s="184"/>
      <c r="D5" s="184"/>
      <c r="E5" s="184"/>
      <c r="F5" s="184"/>
      <c r="G5" s="184"/>
      <c r="H5" s="184"/>
      <c r="I5" s="184"/>
      <c r="J5" s="185"/>
    </row>
    <row r="7" spans="1:13">
      <c r="A7" s="175" t="s">
        <v>145</v>
      </c>
      <c r="B7" s="176"/>
      <c r="C7" s="176"/>
      <c r="D7" s="176"/>
      <c r="E7" s="176"/>
      <c r="F7" s="176"/>
      <c r="G7" s="176"/>
      <c r="H7" s="176"/>
      <c r="I7" s="176"/>
      <c r="J7" s="177"/>
    </row>
    <row r="8" spans="1:13">
      <c r="A8" s="42">
        <v>1</v>
      </c>
      <c r="B8" t="s">
        <v>92</v>
      </c>
      <c r="J8" s="144">
        <v>20</v>
      </c>
    </row>
    <row r="9" spans="1:13">
      <c r="A9" s="42">
        <v>2</v>
      </c>
      <c r="B9" s="42" t="s">
        <v>93</v>
      </c>
      <c r="C9" s="42"/>
      <c r="D9" s="42"/>
      <c r="E9" s="42"/>
      <c r="J9" s="144">
        <f>J8/4</f>
        <v>5</v>
      </c>
    </row>
    <row r="10" spans="1:13">
      <c r="A10" s="42">
        <v>3</v>
      </c>
      <c r="B10" s="42" t="s">
        <v>94</v>
      </c>
      <c r="C10" s="42"/>
      <c r="D10" s="42"/>
      <c r="E10" s="42"/>
      <c r="J10" s="148">
        <v>110</v>
      </c>
    </row>
    <row r="11" spans="1:13">
      <c r="A11" s="42">
        <v>4</v>
      </c>
      <c r="B11" s="42" t="s">
        <v>95</v>
      </c>
      <c r="C11" s="42"/>
      <c r="D11" s="42"/>
      <c r="E11" s="42"/>
      <c r="J11" s="144">
        <v>500</v>
      </c>
    </row>
    <row r="12" spans="1:13">
      <c r="A12" s="42">
        <v>5</v>
      </c>
      <c r="B12" s="42" t="s">
        <v>96</v>
      </c>
      <c r="C12" s="42"/>
      <c r="D12" s="42"/>
      <c r="E12" s="42"/>
      <c r="J12" s="144">
        <v>100</v>
      </c>
    </row>
    <row r="13" spans="1:13">
      <c r="A13" s="42">
        <v>6</v>
      </c>
      <c r="B13" s="42" t="s">
        <v>97</v>
      </c>
      <c r="C13" s="42"/>
      <c r="D13" s="42"/>
      <c r="E13" s="42"/>
      <c r="J13" s="144">
        <v>3</v>
      </c>
    </row>
    <row r="14" spans="1:13">
      <c r="A14" s="42">
        <v>7</v>
      </c>
      <c r="B14" s="42" t="s">
        <v>98</v>
      </c>
      <c r="C14" s="42"/>
      <c r="D14" s="42"/>
      <c r="E14" s="42"/>
      <c r="J14" s="149">
        <v>26</v>
      </c>
    </row>
    <row r="15" spans="1:13">
      <c r="A15" s="42">
        <v>8</v>
      </c>
      <c r="B15" t="s">
        <v>99</v>
      </c>
      <c r="J15">
        <f>(26*12)-7</f>
        <v>305</v>
      </c>
    </row>
    <row r="16" spans="1:13">
      <c r="A16" s="42">
        <v>9</v>
      </c>
      <c r="B16" s="42" t="s">
        <v>100</v>
      </c>
      <c r="C16" s="42"/>
      <c r="D16" s="42"/>
      <c r="E16" s="42"/>
      <c r="J16" s="149">
        <v>2</v>
      </c>
    </row>
    <row r="17" spans="1:13" ht="14.75" customHeight="1">
      <c r="A17" s="42">
        <v>10</v>
      </c>
      <c r="B17" s="168" t="s">
        <v>101</v>
      </c>
      <c r="C17" s="168"/>
      <c r="D17" s="168"/>
      <c r="E17" s="168"/>
      <c r="J17" s="149">
        <v>15</v>
      </c>
    </row>
    <row r="18" spans="1:13">
      <c r="A18" s="42">
        <v>10</v>
      </c>
      <c r="B18" s="42" t="s">
        <v>102</v>
      </c>
      <c r="C18" s="42"/>
      <c r="D18" s="42"/>
      <c r="E18" s="42"/>
      <c r="J18" s="149">
        <f>J15*16</f>
        <v>4880</v>
      </c>
    </row>
    <row r="19" spans="1:13">
      <c r="A19" s="42">
        <v>11</v>
      </c>
      <c r="B19" s="167" t="s">
        <v>103</v>
      </c>
      <c r="C19" s="167"/>
      <c r="D19" s="167"/>
      <c r="E19" s="167"/>
      <c r="F19" s="138"/>
      <c r="G19" s="138"/>
      <c r="H19" s="138"/>
      <c r="I19" s="138"/>
      <c r="J19" s="155">
        <f>3600/2900</f>
        <v>1.2413793103448276</v>
      </c>
    </row>
    <row r="20" spans="1:13">
      <c r="B20" s="42"/>
      <c r="C20" s="42"/>
      <c r="D20" s="42"/>
      <c r="E20" s="42"/>
      <c r="J20" s="149"/>
    </row>
    <row r="21" spans="1:13">
      <c r="A21" s="175" t="s">
        <v>146</v>
      </c>
      <c r="B21" s="176"/>
      <c r="C21" s="176"/>
      <c r="D21" s="176"/>
      <c r="E21" s="176"/>
      <c r="F21" s="176"/>
      <c r="G21" s="176"/>
      <c r="H21" s="176"/>
      <c r="I21" s="176"/>
      <c r="J21" s="176"/>
      <c r="K21" s="176"/>
      <c r="L21" s="176"/>
      <c r="M21" s="177"/>
    </row>
    <row r="22" spans="1:13" s="150" customFormat="1" ht="44.25" customHeight="1">
      <c r="B22" s="179" t="s">
        <v>148</v>
      </c>
      <c r="C22" s="179"/>
      <c r="D22" s="179"/>
      <c r="E22" s="179"/>
      <c r="F22" s="151" t="s">
        <v>137</v>
      </c>
      <c r="G22" s="151" t="s">
        <v>138</v>
      </c>
      <c r="H22" s="151" t="s">
        <v>139</v>
      </c>
      <c r="I22" s="151" t="s">
        <v>140</v>
      </c>
      <c r="J22" s="154" t="s">
        <v>141</v>
      </c>
      <c r="K22" s="151" t="s">
        <v>142</v>
      </c>
      <c r="L22" s="151" t="s">
        <v>143</v>
      </c>
      <c r="M22" s="151" t="s">
        <v>144</v>
      </c>
    </row>
    <row r="23" spans="1:13">
      <c r="A23" s="42">
        <v>1</v>
      </c>
      <c r="B23" s="42" t="s">
        <v>104</v>
      </c>
      <c r="C23" s="42"/>
      <c r="D23" s="42"/>
      <c r="E23" s="42"/>
      <c r="F23">
        <v>1</v>
      </c>
      <c r="G23">
        <f>J8/16</f>
        <v>1.25</v>
      </c>
      <c r="H23">
        <f t="shared" ref="H23:H29" si="0">G23*16</f>
        <v>20</v>
      </c>
      <c r="I23">
        <f>H23*J14</f>
        <v>520</v>
      </c>
      <c r="J23">
        <f>H23*J15</f>
        <v>6100</v>
      </c>
      <c r="K23">
        <f t="shared" ref="K23:K29" si="1">J23*F23</f>
        <v>6100</v>
      </c>
      <c r="L23" s="144">
        <f>J12*3</f>
        <v>300</v>
      </c>
      <c r="M23" s="144">
        <f t="shared" ref="M23:M29" si="2">L23*F23</f>
        <v>300</v>
      </c>
    </row>
    <row r="24" spans="1:13">
      <c r="A24" s="42">
        <v>2</v>
      </c>
      <c r="B24" s="42" t="s">
        <v>105</v>
      </c>
      <c r="C24" s="42"/>
      <c r="D24" s="42"/>
      <c r="E24" s="42"/>
      <c r="F24">
        <v>1</v>
      </c>
      <c r="G24">
        <v>2</v>
      </c>
      <c r="H24">
        <f t="shared" si="0"/>
        <v>32</v>
      </c>
      <c r="I24">
        <f>H24*J14</f>
        <v>832</v>
      </c>
      <c r="J24" s="149">
        <f>H24*J15</f>
        <v>9760</v>
      </c>
      <c r="K24">
        <f t="shared" si="1"/>
        <v>9760</v>
      </c>
      <c r="L24" s="144">
        <v>30000</v>
      </c>
      <c r="M24" s="144">
        <f t="shared" si="2"/>
        <v>30000</v>
      </c>
    </row>
    <row r="25" spans="1:13">
      <c r="A25" s="42">
        <v>3</v>
      </c>
      <c r="B25" s="42" t="s">
        <v>106</v>
      </c>
      <c r="C25" s="42"/>
      <c r="D25" s="42"/>
      <c r="E25" s="42"/>
      <c r="F25">
        <v>4</v>
      </c>
      <c r="G25">
        <v>0.5</v>
      </c>
      <c r="H25">
        <f t="shared" si="0"/>
        <v>8</v>
      </c>
      <c r="I25">
        <f>H25*J14</f>
        <v>208</v>
      </c>
      <c r="J25" s="149">
        <f>H25*J15</f>
        <v>2440</v>
      </c>
      <c r="K25">
        <f t="shared" si="1"/>
        <v>9760</v>
      </c>
      <c r="L25" s="144">
        <v>2500</v>
      </c>
      <c r="M25" s="144">
        <f t="shared" si="2"/>
        <v>10000</v>
      </c>
    </row>
    <row r="26" spans="1:13">
      <c r="A26" s="42">
        <v>4</v>
      </c>
      <c r="B26" s="42" t="s">
        <v>107</v>
      </c>
      <c r="C26" s="42"/>
      <c r="D26" s="42"/>
      <c r="E26" s="42"/>
      <c r="F26">
        <v>3</v>
      </c>
      <c r="G26">
        <v>0.5</v>
      </c>
      <c r="H26">
        <f t="shared" si="0"/>
        <v>8</v>
      </c>
      <c r="I26">
        <f>H26*J14</f>
        <v>208</v>
      </c>
      <c r="J26" s="149">
        <f>H26*J15</f>
        <v>2440</v>
      </c>
      <c r="K26">
        <f t="shared" si="1"/>
        <v>7320</v>
      </c>
      <c r="L26" s="144">
        <v>5000</v>
      </c>
      <c r="M26" s="144">
        <f t="shared" si="2"/>
        <v>15000</v>
      </c>
    </row>
    <row r="27" spans="1:13">
      <c r="A27" s="42">
        <v>5</v>
      </c>
      <c r="B27" s="42" t="s">
        <v>108</v>
      </c>
      <c r="C27" s="42"/>
      <c r="D27" s="42"/>
      <c r="E27" s="42"/>
      <c r="F27">
        <v>2</v>
      </c>
      <c r="G27">
        <v>0.3</v>
      </c>
      <c r="H27">
        <f t="shared" si="0"/>
        <v>4.8</v>
      </c>
      <c r="I27">
        <f>G27*J14</f>
        <v>7.8</v>
      </c>
      <c r="J27" s="149">
        <f>G27*J15</f>
        <v>91.5</v>
      </c>
      <c r="K27">
        <f t="shared" si="1"/>
        <v>183</v>
      </c>
      <c r="L27" s="144">
        <v>35000</v>
      </c>
      <c r="M27" s="144">
        <f t="shared" si="2"/>
        <v>70000</v>
      </c>
    </row>
    <row r="28" spans="1:13">
      <c r="A28" s="42">
        <v>6</v>
      </c>
      <c r="B28" s="42" t="s">
        <v>109</v>
      </c>
      <c r="C28" s="42"/>
      <c r="D28" s="42"/>
      <c r="E28" s="42"/>
      <c r="F28">
        <v>2</v>
      </c>
      <c r="G28">
        <v>0.5</v>
      </c>
      <c r="H28">
        <f t="shared" si="0"/>
        <v>8</v>
      </c>
      <c r="I28">
        <f>G28*J14</f>
        <v>13</v>
      </c>
      <c r="J28" s="149">
        <f>G28*J15</f>
        <v>152.5</v>
      </c>
      <c r="K28">
        <f t="shared" si="1"/>
        <v>305</v>
      </c>
      <c r="L28" s="144">
        <v>2000</v>
      </c>
      <c r="M28" s="144">
        <f t="shared" si="2"/>
        <v>4000</v>
      </c>
    </row>
    <row r="29" spans="1:13">
      <c r="A29" s="42">
        <v>7</v>
      </c>
      <c r="B29" s="42" t="s">
        <v>110</v>
      </c>
      <c r="C29" s="42"/>
      <c r="D29" s="42"/>
      <c r="E29" s="42"/>
      <c r="F29" s="138">
        <v>2</v>
      </c>
      <c r="G29" s="138">
        <v>0.6</v>
      </c>
      <c r="H29" s="138">
        <f t="shared" si="0"/>
        <v>9.6</v>
      </c>
      <c r="I29" s="138">
        <f>H29*J14</f>
        <v>249.6</v>
      </c>
      <c r="J29" s="152">
        <f>H29*J15</f>
        <v>2928</v>
      </c>
      <c r="K29" s="138">
        <f t="shared" si="1"/>
        <v>5856</v>
      </c>
      <c r="L29" s="155">
        <v>3500</v>
      </c>
      <c r="M29" s="155">
        <f t="shared" si="2"/>
        <v>7000</v>
      </c>
    </row>
    <row r="30" spans="1:13">
      <c r="A30" s="42">
        <v>8</v>
      </c>
      <c r="B30" s="42" t="s">
        <v>86</v>
      </c>
      <c r="C30" s="42"/>
      <c r="D30" s="42"/>
      <c r="E30" s="42"/>
      <c r="F30" s="141"/>
      <c r="G30" s="141"/>
      <c r="H30" s="141"/>
      <c r="I30" s="141"/>
      <c r="J30" s="141"/>
      <c r="K30" s="156">
        <f t="shared" ref="K30:M30" si="3">SUM(K23:K29)</f>
        <v>39284</v>
      </c>
      <c r="L30" s="156">
        <f t="shared" si="3"/>
        <v>78300</v>
      </c>
      <c r="M30" s="156">
        <f t="shared" si="3"/>
        <v>136300</v>
      </c>
    </row>
    <row r="31" spans="1:13">
      <c r="B31" s="42"/>
      <c r="C31" s="42"/>
      <c r="D31" s="42"/>
      <c r="E31" s="42"/>
      <c r="J31" s="149"/>
    </row>
    <row r="32" spans="1:13">
      <c r="A32" s="175" t="s">
        <v>84</v>
      </c>
      <c r="B32" s="176"/>
      <c r="C32" s="176"/>
      <c r="D32" s="176"/>
      <c r="E32" s="176"/>
      <c r="F32" s="176"/>
      <c r="G32" s="176"/>
      <c r="H32" s="176"/>
      <c r="I32" s="176"/>
      <c r="J32" s="176"/>
      <c r="K32" s="176"/>
      <c r="L32" s="176"/>
      <c r="M32" s="177"/>
    </row>
    <row r="34" spans="1:12" s="150" customFormat="1" ht="44.25" customHeight="1">
      <c r="B34" s="178" t="s">
        <v>149</v>
      </c>
      <c r="C34" s="178"/>
      <c r="D34" s="178"/>
      <c r="E34" s="178"/>
      <c r="F34" s="151" t="s">
        <v>150</v>
      </c>
      <c r="G34" s="151" t="s">
        <v>151</v>
      </c>
      <c r="H34" s="151" t="s">
        <v>152</v>
      </c>
      <c r="I34" s="151" t="s">
        <v>153</v>
      </c>
      <c r="J34" s="151" t="s">
        <v>154</v>
      </c>
      <c r="K34" s="151" t="s">
        <v>155</v>
      </c>
      <c r="L34" s="151" t="s">
        <v>156</v>
      </c>
    </row>
    <row r="35" spans="1:12">
      <c r="A35">
        <v>1</v>
      </c>
      <c r="B35" s="42" t="s">
        <v>111</v>
      </c>
      <c r="C35" s="42"/>
      <c r="D35" s="42"/>
      <c r="E35" s="42"/>
      <c r="F35">
        <v>4</v>
      </c>
      <c r="G35" s="149">
        <f>J16</f>
        <v>2</v>
      </c>
      <c r="H35" s="149">
        <f>J14</f>
        <v>26</v>
      </c>
      <c r="I35" s="144">
        <f>J13</f>
        <v>3</v>
      </c>
      <c r="J35">
        <f>(I35*F35)*G35</f>
        <v>24</v>
      </c>
      <c r="K35">
        <f>J35*J14</f>
        <v>624</v>
      </c>
      <c r="L35">
        <f>J35*J15</f>
        <v>7320</v>
      </c>
    </row>
    <row r="36" spans="1:12">
      <c r="A36">
        <v>2</v>
      </c>
      <c r="B36" s="42" t="s">
        <v>112</v>
      </c>
      <c r="C36" s="42"/>
      <c r="D36" s="42"/>
      <c r="E36" s="42"/>
      <c r="F36">
        <v>2</v>
      </c>
      <c r="G36" s="149">
        <f>J16</f>
        <v>2</v>
      </c>
      <c r="H36" s="149">
        <f>J14</f>
        <v>26</v>
      </c>
      <c r="I36" s="144">
        <f>J13</f>
        <v>3</v>
      </c>
      <c r="J36">
        <f t="shared" ref="J36:J38" si="4">(I36*F36)*G36</f>
        <v>12</v>
      </c>
      <c r="K36">
        <f>J36*J14</f>
        <v>312</v>
      </c>
      <c r="L36">
        <f>J36*J15</f>
        <v>3660</v>
      </c>
    </row>
    <row r="37" spans="1:12">
      <c r="A37">
        <v>3</v>
      </c>
      <c r="B37" s="42" t="s">
        <v>113</v>
      </c>
      <c r="C37" s="42"/>
      <c r="D37" s="42"/>
      <c r="E37" s="42"/>
      <c r="F37">
        <v>1</v>
      </c>
      <c r="G37">
        <v>2</v>
      </c>
      <c r="H37" s="149">
        <f>J14</f>
        <v>26</v>
      </c>
      <c r="I37" s="144">
        <f>J13</f>
        <v>3</v>
      </c>
      <c r="J37">
        <f t="shared" si="4"/>
        <v>6</v>
      </c>
      <c r="K37">
        <f>J37*J14</f>
        <v>156</v>
      </c>
      <c r="L37">
        <f>J37*J15</f>
        <v>1830</v>
      </c>
    </row>
    <row r="38" spans="1:12">
      <c r="A38">
        <v>4</v>
      </c>
      <c r="B38" s="42" t="s">
        <v>114</v>
      </c>
      <c r="C38" s="42"/>
      <c r="D38" s="42"/>
      <c r="E38" s="42"/>
      <c r="F38">
        <v>2</v>
      </c>
      <c r="G38">
        <v>2</v>
      </c>
      <c r="H38" s="149">
        <f>J14</f>
        <v>26</v>
      </c>
      <c r="I38" s="144">
        <f>J13</f>
        <v>3</v>
      </c>
      <c r="J38">
        <f t="shared" si="4"/>
        <v>12</v>
      </c>
      <c r="K38">
        <f>J38*J14</f>
        <v>312</v>
      </c>
      <c r="L38">
        <f>J38*J15</f>
        <v>3660</v>
      </c>
    </row>
    <row r="39" spans="1:12">
      <c r="A39">
        <v>5</v>
      </c>
      <c r="B39" s="42" t="s">
        <v>115</v>
      </c>
      <c r="C39" s="42"/>
      <c r="D39" s="42"/>
      <c r="E39" s="42"/>
      <c r="F39">
        <v>3</v>
      </c>
      <c r="G39">
        <v>2</v>
      </c>
      <c r="H39" s="149">
        <f>J14</f>
        <v>26</v>
      </c>
      <c r="I39" s="144">
        <f>J13</f>
        <v>3</v>
      </c>
      <c r="J39">
        <f t="shared" ref="J39:J45" si="5">(I39*F39)*G39</f>
        <v>18</v>
      </c>
      <c r="K39">
        <f>J39*J14</f>
        <v>468</v>
      </c>
      <c r="L39">
        <f>J39*J15</f>
        <v>5490</v>
      </c>
    </row>
    <row r="40" spans="1:12">
      <c r="A40">
        <v>6</v>
      </c>
      <c r="B40" t="s">
        <v>116</v>
      </c>
      <c r="F40">
        <v>2</v>
      </c>
      <c r="G40">
        <v>2</v>
      </c>
      <c r="H40" s="149">
        <f>J14</f>
        <v>26</v>
      </c>
      <c r="I40" s="144">
        <f>J13</f>
        <v>3</v>
      </c>
      <c r="J40">
        <f t="shared" si="5"/>
        <v>12</v>
      </c>
      <c r="K40">
        <f>J40*J14</f>
        <v>312</v>
      </c>
      <c r="L40">
        <f>J40*J15</f>
        <v>3660</v>
      </c>
    </row>
    <row r="41" spans="1:12">
      <c r="A41">
        <v>7</v>
      </c>
      <c r="B41" s="42" t="s">
        <v>117</v>
      </c>
      <c r="C41" s="42"/>
      <c r="D41" s="42"/>
      <c r="E41" s="42"/>
      <c r="F41">
        <v>3</v>
      </c>
      <c r="G41">
        <v>2</v>
      </c>
      <c r="H41" s="149">
        <f>J14</f>
        <v>26</v>
      </c>
      <c r="I41" s="144">
        <f>J13</f>
        <v>3</v>
      </c>
      <c r="J41">
        <f t="shared" si="5"/>
        <v>18</v>
      </c>
      <c r="K41">
        <f>J41*J14</f>
        <v>468</v>
      </c>
      <c r="L41">
        <f>J41*J15</f>
        <v>5490</v>
      </c>
    </row>
    <row r="42" spans="1:12">
      <c r="A42">
        <v>8</v>
      </c>
      <c r="B42" s="42" t="s">
        <v>118</v>
      </c>
      <c r="C42" s="42"/>
      <c r="D42" s="42"/>
      <c r="E42" s="42"/>
      <c r="F42">
        <v>2</v>
      </c>
      <c r="G42">
        <v>2</v>
      </c>
      <c r="H42" s="149">
        <f>J14</f>
        <v>26</v>
      </c>
      <c r="I42" s="144">
        <f>J13</f>
        <v>3</v>
      </c>
      <c r="J42">
        <f t="shared" si="5"/>
        <v>12</v>
      </c>
      <c r="K42">
        <f>J42*J14</f>
        <v>312</v>
      </c>
      <c r="L42">
        <f>J42*J15</f>
        <v>3660</v>
      </c>
    </row>
    <row r="43" spans="1:12">
      <c r="A43">
        <v>9</v>
      </c>
      <c r="B43" t="s">
        <v>119</v>
      </c>
      <c r="F43">
        <v>2</v>
      </c>
      <c r="G43">
        <v>2</v>
      </c>
      <c r="H43" s="149">
        <f>J14</f>
        <v>26</v>
      </c>
      <c r="I43" s="144">
        <f>J13</f>
        <v>3</v>
      </c>
      <c r="J43">
        <f t="shared" si="5"/>
        <v>12</v>
      </c>
      <c r="K43">
        <f>J43*J14</f>
        <v>312</v>
      </c>
      <c r="L43">
        <f>J43*J15</f>
        <v>3660</v>
      </c>
    </row>
    <row r="44" spans="1:12">
      <c r="A44">
        <v>10</v>
      </c>
      <c r="B44" t="s">
        <v>120</v>
      </c>
      <c r="F44">
        <v>2</v>
      </c>
      <c r="G44">
        <v>2</v>
      </c>
      <c r="H44" s="149">
        <f>J14</f>
        <v>26</v>
      </c>
      <c r="I44" s="144">
        <f>J13</f>
        <v>3</v>
      </c>
      <c r="J44">
        <f t="shared" si="5"/>
        <v>12</v>
      </c>
      <c r="K44">
        <f>J44*J14</f>
        <v>312</v>
      </c>
      <c r="L44">
        <f>J44*J15</f>
        <v>3660</v>
      </c>
    </row>
    <row r="45" spans="1:12">
      <c r="A45">
        <v>10</v>
      </c>
      <c r="B45" t="s">
        <v>121</v>
      </c>
      <c r="F45">
        <v>2</v>
      </c>
      <c r="G45">
        <v>2</v>
      </c>
      <c r="H45" s="149">
        <f>J14</f>
        <v>26</v>
      </c>
      <c r="I45" s="144">
        <f>J13</f>
        <v>3</v>
      </c>
      <c r="J45">
        <f t="shared" si="5"/>
        <v>12</v>
      </c>
      <c r="K45">
        <f>J45*J14</f>
        <v>312</v>
      </c>
      <c r="L45">
        <f>J45*J15</f>
        <v>3660</v>
      </c>
    </row>
    <row r="46" spans="1:12">
      <c r="B46" s="170" t="s">
        <v>81</v>
      </c>
      <c r="C46" s="170"/>
      <c r="D46" s="170"/>
      <c r="E46" s="170"/>
      <c r="F46" s="141"/>
      <c r="G46" s="141"/>
      <c r="H46" s="141"/>
      <c r="I46" s="141"/>
      <c r="J46" s="141"/>
      <c r="K46" s="156">
        <f>SUM(K35:K45)</f>
        <v>3900</v>
      </c>
      <c r="L46" s="156">
        <f>SUM(L35:L45)</f>
        <v>45750</v>
      </c>
    </row>
    <row r="48" spans="1:12" ht="44.25" customHeight="1">
      <c r="B48" s="170" t="s">
        <v>91</v>
      </c>
      <c r="C48" s="170"/>
      <c r="D48" s="170"/>
      <c r="E48" s="170"/>
      <c r="F48" s="151" t="s">
        <v>150</v>
      </c>
      <c r="G48" s="151" t="s">
        <v>157</v>
      </c>
      <c r="H48" s="151" t="s">
        <v>152</v>
      </c>
      <c r="I48" s="151" t="s">
        <v>85</v>
      </c>
      <c r="J48" s="151" t="s">
        <v>153</v>
      </c>
      <c r="K48" s="151" t="s">
        <v>155</v>
      </c>
      <c r="L48" s="151" t="s">
        <v>156</v>
      </c>
    </row>
    <row r="49" spans="1:12">
      <c r="A49">
        <v>1</v>
      </c>
      <c r="B49" s="42" t="s">
        <v>122</v>
      </c>
      <c r="C49" s="42"/>
      <c r="D49" s="42"/>
      <c r="E49" s="42"/>
      <c r="F49">
        <v>1</v>
      </c>
      <c r="G49">
        <v>2</v>
      </c>
      <c r="H49" s="149">
        <f>J14</f>
        <v>26</v>
      </c>
      <c r="I49" s="144">
        <v>6</v>
      </c>
      <c r="J49">
        <f>(I49*F49)*G49</f>
        <v>12</v>
      </c>
      <c r="K49" s="149">
        <f>J49*J14</f>
        <v>312</v>
      </c>
      <c r="L49">
        <f>J49*J15</f>
        <v>3660</v>
      </c>
    </row>
    <row r="50" spans="1:12">
      <c r="A50">
        <v>2</v>
      </c>
      <c r="B50" s="42" t="s">
        <v>123</v>
      </c>
      <c r="C50" s="42"/>
      <c r="D50" s="42"/>
      <c r="E50" s="42"/>
      <c r="F50">
        <v>1</v>
      </c>
      <c r="G50">
        <v>1</v>
      </c>
      <c r="H50" s="149">
        <f>J14</f>
        <v>26</v>
      </c>
      <c r="I50">
        <v>8</v>
      </c>
      <c r="J50">
        <f>(I50*F50)*G50</f>
        <v>8</v>
      </c>
      <c r="K50">
        <f>J50*J14</f>
        <v>208</v>
      </c>
      <c r="L50">
        <f>J50*J15</f>
        <v>2440</v>
      </c>
    </row>
    <row r="51" spans="1:12">
      <c r="A51">
        <v>3</v>
      </c>
      <c r="B51" s="42" t="s">
        <v>124</v>
      </c>
      <c r="C51" s="42"/>
      <c r="D51" s="42"/>
      <c r="E51" s="42"/>
      <c r="F51">
        <v>1</v>
      </c>
      <c r="G51">
        <v>2</v>
      </c>
      <c r="H51" s="149">
        <f>J14</f>
        <v>26</v>
      </c>
      <c r="I51">
        <v>10</v>
      </c>
      <c r="J51">
        <f>(I51*F51)*G51</f>
        <v>20</v>
      </c>
      <c r="K51">
        <f>J51*J14</f>
        <v>520</v>
      </c>
      <c r="L51">
        <f>J51*J15</f>
        <v>6100</v>
      </c>
    </row>
    <row r="52" spans="1:12">
      <c r="B52" t="s">
        <v>86</v>
      </c>
      <c r="K52" s="149">
        <f>SUM(K49:K51)</f>
        <v>1040</v>
      </c>
      <c r="L52" s="149">
        <f>SUM(L49:L51)</f>
        <v>12200</v>
      </c>
    </row>
    <row r="54" spans="1:12">
      <c r="A54" s="175" t="s">
        <v>87</v>
      </c>
      <c r="B54" s="176"/>
      <c r="C54" s="176"/>
      <c r="D54" s="176"/>
      <c r="E54" s="176"/>
      <c r="F54" s="176"/>
      <c r="G54" s="176"/>
      <c r="H54" s="176"/>
      <c r="I54" s="176"/>
      <c r="J54" s="176"/>
      <c r="K54" s="176"/>
      <c r="L54" s="177"/>
    </row>
    <row r="56" spans="1:12" ht="44.25">
      <c r="B56" s="174" t="s">
        <v>88</v>
      </c>
      <c r="C56" s="174"/>
      <c r="D56" s="174"/>
      <c r="E56" s="174"/>
      <c r="F56" s="157" t="s">
        <v>137</v>
      </c>
      <c r="G56" s="147" t="s">
        <v>143</v>
      </c>
      <c r="H56" s="147" t="s">
        <v>158</v>
      </c>
      <c r="I56" s="150"/>
      <c r="J56" s="150"/>
      <c r="K56" s="150"/>
      <c r="L56" s="150"/>
    </row>
    <row r="57" spans="1:12">
      <c r="A57">
        <v>1</v>
      </c>
      <c r="B57" s="42" t="s">
        <v>125</v>
      </c>
      <c r="C57" s="42"/>
      <c r="D57" s="42"/>
      <c r="E57" s="42"/>
      <c r="F57">
        <v>1</v>
      </c>
      <c r="G57" s="144">
        <v>25000</v>
      </c>
      <c r="H57" s="144">
        <f t="shared" ref="H57:H64" si="6">G57*F57</f>
        <v>25000</v>
      </c>
    </row>
    <row r="58" spans="1:12">
      <c r="A58">
        <v>2</v>
      </c>
      <c r="B58" s="42" t="s">
        <v>126</v>
      </c>
      <c r="C58" s="42"/>
      <c r="D58" s="42"/>
      <c r="E58" s="42"/>
      <c r="F58">
        <v>1</v>
      </c>
      <c r="G58" s="144">
        <v>20000</v>
      </c>
      <c r="H58" s="144">
        <f t="shared" si="6"/>
        <v>20000</v>
      </c>
    </row>
    <row r="59" spans="1:12">
      <c r="A59">
        <v>3</v>
      </c>
      <c r="B59" s="42" t="s">
        <v>127</v>
      </c>
      <c r="C59" s="42"/>
      <c r="D59" s="42"/>
      <c r="E59" s="42"/>
      <c r="F59">
        <v>3</v>
      </c>
      <c r="G59" s="144">
        <v>3000</v>
      </c>
      <c r="H59" s="144">
        <f t="shared" si="6"/>
        <v>9000</v>
      </c>
    </row>
    <row r="60" spans="1:12">
      <c r="A60">
        <v>4</v>
      </c>
      <c r="B60" s="42" t="s">
        <v>128</v>
      </c>
      <c r="C60" s="42"/>
      <c r="D60" s="42"/>
      <c r="E60" s="42"/>
      <c r="F60">
        <v>50</v>
      </c>
      <c r="G60" s="144">
        <v>0.5</v>
      </c>
      <c r="H60" s="144">
        <f t="shared" si="6"/>
        <v>25</v>
      </c>
    </row>
    <row r="61" spans="1:12">
      <c r="A61">
        <v>5</v>
      </c>
      <c r="B61" s="42" t="s">
        <v>129</v>
      </c>
      <c r="C61" s="42"/>
      <c r="D61" s="42"/>
      <c r="E61" s="42"/>
      <c r="F61">
        <v>1</v>
      </c>
      <c r="G61" s="144">
        <v>20000</v>
      </c>
      <c r="H61" s="144">
        <f t="shared" si="6"/>
        <v>20000</v>
      </c>
    </row>
    <row r="62" spans="1:12">
      <c r="A62">
        <v>6</v>
      </c>
      <c r="B62" s="42" t="s">
        <v>130</v>
      </c>
      <c r="C62" s="42"/>
      <c r="D62" s="42"/>
      <c r="E62" s="42"/>
      <c r="F62">
        <v>1</v>
      </c>
      <c r="G62" s="144">
        <v>1500</v>
      </c>
      <c r="H62" s="144">
        <f t="shared" si="6"/>
        <v>1500</v>
      </c>
    </row>
    <row r="63" spans="1:12">
      <c r="A63">
        <v>6</v>
      </c>
      <c r="B63" s="42" t="s">
        <v>131</v>
      </c>
      <c r="C63" s="42"/>
      <c r="D63" s="42"/>
      <c r="E63" s="42"/>
      <c r="F63">
        <v>1</v>
      </c>
      <c r="G63" s="144">
        <v>7000</v>
      </c>
      <c r="H63" s="144">
        <f t="shared" si="6"/>
        <v>7000</v>
      </c>
    </row>
    <row r="64" spans="1:12">
      <c r="A64">
        <v>7</v>
      </c>
      <c r="B64" s="42" t="s">
        <v>132</v>
      </c>
      <c r="C64" s="42"/>
      <c r="D64" s="42"/>
      <c r="E64" s="42"/>
      <c r="F64">
        <v>2</v>
      </c>
      <c r="G64" s="144">
        <v>1000</v>
      </c>
      <c r="H64" s="144">
        <f t="shared" si="6"/>
        <v>2000</v>
      </c>
    </row>
    <row r="65" spans="1:12">
      <c r="B65" s="170" t="s">
        <v>86</v>
      </c>
      <c r="C65" s="170"/>
      <c r="D65" s="170"/>
      <c r="E65" s="170"/>
      <c r="F65" s="141"/>
      <c r="G65" s="156">
        <f>SUM(G57:G64)</f>
        <v>77500.5</v>
      </c>
      <c r="H65" s="156">
        <f>SUM(H57:H64)</f>
        <v>84525</v>
      </c>
    </row>
    <row r="66" spans="1:12">
      <c r="G66" s="144"/>
      <c r="H66" s="144"/>
    </row>
    <row r="68" spans="1:12">
      <c r="A68" s="171" t="s">
        <v>89</v>
      </c>
      <c r="B68" s="172"/>
      <c r="C68" s="172"/>
      <c r="D68" s="172"/>
      <c r="E68" s="172"/>
      <c r="F68" s="172"/>
      <c r="G68" s="172"/>
      <c r="H68" s="172"/>
      <c r="I68" s="172"/>
      <c r="J68" s="172"/>
      <c r="K68" s="172"/>
      <c r="L68" s="173"/>
    </row>
    <row r="69" spans="1:12">
      <c r="A69" s="43"/>
      <c r="B69" s="43"/>
      <c r="C69" s="43"/>
      <c r="D69" s="43"/>
      <c r="E69" s="43"/>
      <c r="F69" s="140"/>
      <c r="G69" s="140"/>
      <c r="H69" s="140"/>
      <c r="I69" s="140"/>
      <c r="J69" s="140"/>
      <c r="K69" s="140"/>
      <c r="L69" s="140"/>
    </row>
    <row r="70" spans="1:12" ht="59">
      <c r="E70" s="151" t="s">
        <v>137</v>
      </c>
      <c r="F70" s="151" t="s">
        <v>159</v>
      </c>
      <c r="G70" s="151" t="s">
        <v>160</v>
      </c>
      <c r="H70" s="151" t="s">
        <v>161</v>
      </c>
      <c r="I70" s="154" t="s">
        <v>162</v>
      </c>
      <c r="J70" s="151" t="s">
        <v>163</v>
      </c>
      <c r="K70" s="151" t="s">
        <v>143</v>
      </c>
      <c r="L70" s="158" t="s">
        <v>144</v>
      </c>
    </row>
    <row r="71" spans="1:12">
      <c r="A71">
        <v>1</v>
      </c>
      <c r="B71" t="s">
        <v>133</v>
      </c>
      <c r="E71">
        <v>1</v>
      </c>
      <c r="F71">
        <v>80</v>
      </c>
      <c r="G71">
        <v>10</v>
      </c>
      <c r="H71">
        <f>G71*J14</f>
        <v>260</v>
      </c>
      <c r="I71">
        <f>G71*J15</f>
        <v>3050</v>
      </c>
      <c r="J71">
        <f>I71*E71</f>
        <v>3050</v>
      </c>
      <c r="K71" s="144">
        <f>J19</f>
        <v>1.2413793103448276</v>
      </c>
      <c r="L71" s="144">
        <f>K71*J71</f>
        <v>3786.2068965517242</v>
      </c>
    </row>
    <row r="72" spans="1:12">
      <c r="A72">
        <v>2</v>
      </c>
      <c r="B72" t="s">
        <v>134</v>
      </c>
      <c r="E72">
        <v>1</v>
      </c>
      <c r="F72">
        <v>200</v>
      </c>
      <c r="G72">
        <v>19</v>
      </c>
      <c r="H72">
        <f>G72*J14</f>
        <v>494</v>
      </c>
      <c r="I72">
        <f>G72*J15</f>
        <v>5795</v>
      </c>
      <c r="J72">
        <f>I72*E72</f>
        <v>5795</v>
      </c>
      <c r="K72" s="144">
        <f>J19</f>
        <v>1.2413793103448276</v>
      </c>
      <c r="L72" s="144">
        <f>K72*J72</f>
        <v>7193.7931034482763</v>
      </c>
    </row>
    <row r="73" spans="1:12">
      <c r="A73">
        <v>3</v>
      </c>
      <c r="B73" s="42" t="s">
        <v>135</v>
      </c>
      <c r="C73" s="42"/>
      <c r="D73" s="42"/>
      <c r="E73">
        <v>1</v>
      </c>
      <c r="F73">
        <v>80</v>
      </c>
      <c r="G73">
        <v>20</v>
      </c>
      <c r="H73">
        <f>G73*J14</f>
        <v>520</v>
      </c>
      <c r="I73">
        <f>G73*J15</f>
        <v>6100</v>
      </c>
      <c r="J73">
        <f>I73*E73</f>
        <v>6100</v>
      </c>
      <c r="K73" s="144">
        <f>J19</f>
        <v>1.2413793103448276</v>
      </c>
      <c r="L73" s="144">
        <f>K73*J73</f>
        <v>7572.4137931034484</v>
      </c>
    </row>
    <row r="74" spans="1:12">
      <c r="A74">
        <v>4</v>
      </c>
      <c r="B74" s="42" t="s">
        <v>136</v>
      </c>
      <c r="C74" s="42"/>
      <c r="D74" s="42"/>
      <c r="E74">
        <v>3</v>
      </c>
      <c r="F74">
        <v>15</v>
      </c>
      <c r="G74">
        <v>5</v>
      </c>
      <c r="H74">
        <f>G74*J14</f>
        <v>130</v>
      </c>
      <c r="I74">
        <f>G74*J15</f>
        <v>1525</v>
      </c>
      <c r="J74">
        <f>I74*E74</f>
        <v>4575</v>
      </c>
      <c r="K74" s="144">
        <f>J19</f>
        <v>1.2413793103448276</v>
      </c>
      <c r="L74" s="144">
        <f>K74*J74</f>
        <v>5679.3103448275861</v>
      </c>
    </row>
    <row r="75" spans="1:12">
      <c r="B75" s="170" t="s">
        <v>81</v>
      </c>
      <c r="C75" s="170"/>
      <c r="D75" s="170"/>
      <c r="E75" s="138"/>
      <c r="F75" s="138"/>
      <c r="G75" s="138"/>
      <c r="H75" s="138"/>
      <c r="I75" s="138"/>
      <c r="J75" s="138">
        <f>SUM(J71:J74)</f>
        <v>19520</v>
      </c>
      <c r="K75" s="138"/>
      <c r="L75" s="155">
        <f>SUM(L71:L74)</f>
        <v>24231.724137931036</v>
      </c>
    </row>
  </sheetData>
  <mergeCells count="14">
    <mergeCell ref="A7:J7"/>
    <mergeCell ref="A1:M1"/>
    <mergeCell ref="A5:J5"/>
    <mergeCell ref="B46:E46"/>
    <mergeCell ref="A54:L54"/>
    <mergeCell ref="A21:M21"/>
    <mergeCell ref="B34:E34"/>
    <mergeCell ref="B22:E22"/>
    <mergeCell ref="A32:M32"/>
    <mergeCell ref="B75:D75"/>
    <mergeCell ref="B48:E48"/>
    <mergeCell ref="B65:E65"/>
    <mergeCell ref="A68:L68"/>
    <mergeCell ref="B56:E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0BE8-0D8E-481F-BF20-F16AEF5081E1}">
  <dimension ref="A1:I29"/>
  <sheetViews>
    <sheetView topLeftCell="A4" workbookViewId="0">
      <selection activeCell="H6" sqref="H6"/>
    </sheetView>
  </sheetViews>
  <sheetFormatPr defaultRowHeight="14.75"/>
  <cols>
    <col min="1" max="1" width="3.40625" customWidth="1"/>
    <col min="2" max="2" width="35.04296875" bestFit="1" customWidth="1"/>
    <col min="3" max="3" width="10.1796875" bestFit="1" customWidth="1"/>
    <col min="4" max="4" width="11" customWidth="1"/>
    <col min="5" max="5" width="10.7265625" customWidth="1"/>
    <col min="6" max="6" width="14.86328125" customWidth="1"/>
    <col min="7" max="7" width="14.453125" customWidth="1"/>
    <col min="8" max="8" width="16.08984375" customWidth="1"/>
    <col min="9" max="9" width="14.453125" customWidth="1"/>
  </cols>
  <sheetData>
    <row r="1" spans="1:8" ht="15.5" thickBot="1">
      <c r="B1" s="180" t="s">
        <v>164</v>
      </c>
      <c r="C1" s="181"/>
      <c r="D1" s="181"/>
      <c r="E1" s="181"/>
      <c r="F1" s="181"/>
      <c r="G1" s="181"/>
      <c r="H1" s="182"/>
    </row>
    <row r="4" spans="1:8">
      <c r="B4" s="183" t="s">
        <v>165</v>
      </c>
      <c r="C4" s="184"/>
      <c r="D4" s="184"/>
      <c r="E4" s="184"/>
      <c r="F4" s="184"/>
      <c r="G4" s="184"/>
      <c r="H4" s="185"/>
    </row>
    <row r="6" spans="1:8">
      <c r="A6">
        <v>1</v>
      </c>
      <c r="B6" s="42" t="s">
        <v>166</v>
      </c>
      <c r="C6" s="42"/>
      <c r="D6" s="42"/>
      <c r="E6" s="42"/>
      <c r="H6" s="149">
        <f>'Assumptions '!J8</f>
        <v>20</v>
      </c>
    </row>
    <row r="7" spans="1:8">
      <c r="A7">
        <v>2</v>
      </c>
      <c r="B7" s="42" t="s">
        <v>167</v>
      </c>
      <c r="C7" s="42"/>
      <c r="D7" s="42"/>
      <c r="E7" s="42"/>
      <c r="H7" s="145">
        <v>0.25</v>
      </c>
    </row>
    <row r="8" spans="1:8">
      <c r="A8">
        <v>3</v>
      </c>
      <c r="B8" s="42" t="s">
        <v>168</v>
      </c>
      <c r="C8" s="42"/>
      <c r="D8" s="42"/>
      <c r="E8" s="42"/>
      <c r="H8" s="144">
        <f>SUM(H6*'Assumptions '!J10)</f>
        <v>2200</v>
      </c>
    </row>
    <row r="9" spans="1:8">
      <c r="A9">
        <v>4</v>
      </c>
      <c r="B9" s="42" t="s">
        <v>169</v>
      </c>
      <c r="C9" s="42"/>
      <c r="D9" s="42"/>
      <c r="E9" s="42"/>
      <c r="H9">
        <f>SUM(H6/4)</f>
        <v>5</v>
      </c>
    </row>
    <row r="10" spans="1:8">
      <c r="A10">
        <v>5</v>
      </c>
      <c r="B10" s="42" t="s">
        <v>170</v>
      </c>
      <c r="C10" s="42"/>
      <c r="D10" s="42"/>
      <c r="E10" s="42"/>
      <c r="H10" s="144">
        <v>750</v>
      </c>
    </row>
    <row r="12" spans="1:8">
      <c r="B12" s="150" t="s">
        <v>171</v>
      </c>
    </row>
    <row r="13" spans="1:8" ht="44.25" customHeight="1">
      <c r="C13" s="153" t="s">
        <v>172</v>
      </c>
      <c r="D13" s="153" t="s">
        <v>173</v>
      </c>
      <c r="E13" s="153" t="s">
        <v>174</v>
      </c>
    </row>
    <row r="14" spans="1:8">
      <c r="C14">
        <f>H6*'Assumptions '!J10</f>
        <v>2200</v>
      </c>
      <c r="D14">
        <f>C14*'Assumptions '!J14</f>
        <v>57200</v>
      </c>
      <c r="E14">
        <f>C14*'Assumptions '!J15</f>
        <v>671000</v>
      </c>
    </row>
    <row r="21" spans="2:9" ht="44.25">
      <c r="C21" s="151" t="s">
        <v>175</v>
      </c>
      <c r="D21" s="151" t="s">
        <v>176</v>
      </c>
      <c r="E21" s="154" t="s">
        <v>177</v>
      </c>
      <c r="F21" s="151" t="s">
        <v>178</v>
      </c>
      <c r="G21" s="151" t="s">
        <v>179</v>
      </c>
      <c r="H21" s="151" t="s">
        <v>180</v>
      </c>
      <c r="I21" s="151" t="s">
        <v>181</v>
      </c>
    </row>
    <row r="22" spans="2:9">
      <c r="C22">
        <f>H9</f>
        <v>5</v>
      </c>
      <c r="D22">
        <f>C22*'Assumptions '!J14</f>
        <v>130</v>
      </c>
      <c r="E22">
        <f>C22*'Assumptions '!J15</f>
        <v>1525</v>
      </c>
      <c r="F22" s="144">
        <f>H10</f>
        <v>750</v>
      </c>
      <c r="G22" s="144">
        <f>F22*C22</f>
        <v>3750</v>
      </c>
      <c r="H22">
        <f>H10*D22</f>
        <v>97500</v>
      </c>
      <c r="I22" s="144">
        <f>E22*H10</f>
        <v>1143750</v>
      </c>
    </row>
    <row r="27" spans="2:9" ht="48.5" customHeight="1">
      <c r="B27" s="159"/>
      <c r="C27" s="143"/>
      <c r="D27" s="143"/>
      <c r="E27" s="143"/>
      <c r="F27" s="143"/>
      <c r="G27" s="143"/>
      <c r="H27" s="143"/>
    </row>
    <row r="28" spans="2:9">
      <c r="C28" s="160"/>
      <c r="F28" s="144"/>
      <c r="G28" s="144"/>
    </row>
    <row r="29" spans="2:9">
      <c r="C29" s="160"/>
      <c r="F29" s="144"/>
    </row>
  </sheetData>
  <mergeCells count="2">
    <mergeCell ref="B4:H4"/>
    <mergeCell ref="B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58794-F473-425B-B984-9A5CA24D77CE}">
  <dimension ref="A1:H25"/>
  <sheetViews>
    <sheetView showGridLines="0" topLeftCell="C5" workbookViewId="0">
      <selection activeCell="H9" sqref="H9"/>
    </sheetView>
  </sheetViews>
  <sheetFormatPr defaultRowHeight="14.75"/>
  <cols>
    <col min="1" max="2" width="20.40625" customWidth="1"/>
    <col min="3" max="3" width="21.6796875" customWidth="1"/>
    <col min="4" max="4" width="15.7265625" customWidth="1"/>
    <col min="5" max="5" width="18.90625" customWidth="1"/>
    <col min="6" max="6" width="20.1796875" customWidth="1"/>
    <col min="7" max="7" width="18.86328125" customWidth="1"/>
    <col min="8" max="8" width="22.40625" bestFit="1" customWidth="1"/>
  </cols>
  <sheetData>
    <row r="1" spans="1:8" ht="15.5" thickBot="1">
      <c r="A1" s="186" t="s">
        <v>182</v>
      </c>
      <c r="B1" s="187"/>
      <c r="C1" s="187"/>
      <c r="D1" s="188"/>
    </row>
    <row r="5" spans="1:8" s="43" customFormat="1" ht="44.25">
      <c r="A5" s="140" t="s">
        <v>183</v>
      </c>
      <c r="B5" s="140" t="s">
        <v>137</v>
      </c>
      <c r="C5" s="139" t="s">
        <v>195</v>
      </c>
      <c r="D5" s="140" t="s">
        <v>196</v>
      </c>
      <c r="E5" s="139" t="s">
        <v>197</v>
      </c>
      <c r="F5" s="139" t="s">
        <v>198</v>
      </c>
      <c r="G5" s="140" t="s">
        <v>199</v>
      </c>
      <c r="H5" s="139" t="s">
        <v>200</v>
      </c>
    </row>
    <row r="6" spans="1:8">
      <c r="A6" t="s">
        <v>184</v>
      </c>
      <c r="B6" s="43">
        <v>1</v>
      </c>
      <c r="C6" s="144">
        <f>'Assumptions '!J11*'Assumptions '!J12</f>
        <v>50000</v>
      </c>
      <c r="D6" s="43">
        <v>2023</v>
      </c>
      <c r="E6" s="43">
        <v>50</v>
      </c>
      <c r="F6" s="43">
        <f>SUM(D6+E6)</f>
        <v>2073</v>
      </c>
      <c r="G6" s="142">
        <v>0.05</v>
      </c>
      <c r="H6" s="144">
        <f>SUM(C6/100*G6)*E6</f>
        <v>1250</v>
      </c>
    </row>
    <row r="7" spans="1:8">
      <c r="A7" t="s">
        <v>108</v>
      </c>
      <c r="B7" s="43">
        <v>2</v>
      </c>
      <c r="C7" s="144">
        <f>'Assumptions '!M27</f>
        <v>70000</v>
      </c>
      <c r="D7" s="43">
        <v>2024</v>
      </c>
      <c r="E7" s="43">
        <v>10</v>
      </c>
      <c r="F7" s="43">
        <f>SUM(D7+E7)</f>
        <v>2034</v>
      </c>
      <c r="G7" s="142">
        <v>0.05</v>
      </c>
      <c r="H7" s="144">
        <f t="shared" ref="H7:H18" si="0">SUM(C7/100*G7)*E7</f>
        <v>350</v>
      </c>
    </row>
    <row r="8" spans="1:8">
      <c r="A8" t="s">
        <v>185</v>
      </c>
      <c r="B8" s="43">
        <v>1</v>
      </c>
      <c r="C8" s="144">
        <f>'Assumptions '!M24</f>
        <v>30000</v>
      </c>
      <c r="D8" s="43">
        <v>2024</v>
      </c>
      <c r="E8" s="43">
        <v>10</v>
      </c>
      <c r="F8" s="43">
        <f t="shared" ref="F8:F18" si="1">SUM(D8+E8)</f>
        <v>2034</v>
      </c>
      <c r="G8" s="142">
        <v>0.05</v>
      </c>
      <c r="H8" s="144">
        <f t="shared" si="0"/>
        <v>150</v>
      </c>
    </row>
    <row r="9" spans="1:8">
      <c r="A9" t="s">
        <v>186</v>
      </c>
      <c r="B9" s="43">
        <v>4</v>
      </c>
      <c r="C9" s="144">
        <f>'Assumptions '!M25</f>
        <v>10000</v>
      </c>
      <c r="D9" s="43">
        <v>2024</v>
      </c>
      <c r="E9" s="43">
        <v>10</v>
      </c>
      <c r="F9" s="43">
        <f t="shared" si="1"/>
        <v>2034</v>
      </c>
      <c r="G9" s="142">
        <v>0.05</v>
      </c>
      <c r="H9" s="144">
        <f t="shared" si="0"/>
        <v>50</v>
      </c>
    </row>
    <row r="10" spans="1:8">
      <c r="A10" t="s">
        <v>187</v>
      </c>
      <c r="B10" s="43">
        <v>2</v>
      </c>
      <c r="C10" s="144">
        <f>'Assumptions '!M28</f>
        <v>4000</v>
      </c>
      <c r="D10" s="43">
        <v>2024</v>
      </c>
      <c r="E10" s="43">
        <v>10</v>
      </c>
      <c r="F10" s="43">
        <f t="shared" si="1"/>
        <v>2034</v>
      </c>
      <c r="G10" s="142">
        <v>0.05</v>
      </c>
      <c r="H10" s="144">
        <f t="shared" si="0"/>
        <v>20</v>
      </c>
    </row>
    <row r="11" spans="1:8">
      <c r="A11" t="s">
        <v>188</v>
      </c>
      <c r="B11" s="43">
        <v>3</v>
      </c>
      <c r="C11" s="144">
        <f>'Assumptions '!M26</f>
        <v>15000</v>
      </c>
      <c r="D11" s="43">
        <v>2024</v>
      </c>
      <c r="E11" s="43">
        <v>10</v>
      </c>
      <c r="F11" s="43">
        <f t="shared" si="1"/>
        <v>2034</v>
      </c>
      <c r="G11" s="142">
        <v>0.05</v>
      </c>
      <c r="H11" s="144">
        <f t="shared" si="0"/>
        <v>75</v>
      </c>
    </row>
    <row r="12" spans="1:8">
      <c r="A12" t="s">
        <v>189</v>
      </c>
      <c r="B12" s="43">
        <v>3</v>
      </c>
      <c r="C12">
        <v>15000</v>
      </c>
      <c r="D12" s="43">
        <v>2024</v>
      </c>
      <c r="E12" s="43">
        <v>10</v>
      </c>
      <c r="F12" s="43">
        <f t="shared" si="1"/>
        <v>2034</v>
      </c>
      <c r="G12" s="142">
        <v>0.05</v>
      </c>
      <c r="H12" s="144">
        <f t="shared" si="0"/>
        <v>75</v>
      </c>
    </row>
    <row r="13" spans="1:8">
      <c r="A13" t="s">
        <v>190</v>
      </c>
      <c r="B13" s="43">
        <v>1</v>
      </c>
      <c r="C13">
        <v>30000</v>
      </c>
      <c r="D13" s="43">
        <v>2024</v>
      </c>
      <c r="E13" s="43">
        <v>10</v>
      </c>
      <c r="F13" s="43">
        <f t="shared" si="1"/>
        <v>2034</v>
      </c>
      <c r="G13" s="142">
        <v>0.05</v>
      </c>
      <c r="H13" s="144">
        <f t="shared" si="0"/>
        <v>150</v>
      </c>
    </row>
    <row r="14" spans="1:8">
      <c r="A14" t="s">
        <v>191</v>
      </c>
      <c r="B14" s="43">
        <v>1</v>
      </c>
      <c r="C14">
        <v>23000</v>
      </c>
      <c r="D14" s="43">
        <v>2024</v>
      </c>
      <c r="E14" s="43">
        <v>10</v>
      </c>
      <c r="F14" s="43">
        <f t="shared" si="1"/>
        <v>2034</v>
      </c>
      <c r="G14" s="142">
        <v>0.05</v>
      </c>
      <c r="H14" s="144">
        <f t="shared" si="0"/>
        <v>115</v>
      </c>
    </row>
    <row r="15" spans="1:8">
      <c r="A15" t="s">
        <v>127</v>
      </c>
      <c r="B15" s="43">
        <v>3</v>
      </c>
      <c r="C15">
        <v>1400</v>
      </c>
      <c r="D15" s="43">
        <v>2024</v>
      </c>
      <c r="E15" s="43">
        <v>5</v>
      </c>
      <c r="F15" s="43">
        <f t="shared" si="1"/>
        <v>2029</v>
      </c>
      <c r="G15" s="142">
        <v>0.05</v>
      </c>
      <c r="H15" s="144">
        <f t="shared" si="0"/>
        <v>3.5000000000000004</v>
      </c>
    </row>
    <row r="16" spans="1:8">
      <c r="A16" t="s">
        <v>110</v>
      </c>
      <c r="B16" s="43">
        <v>2</v>
      </c>
      <c r="C16" s="144">
        <f>'Assumptions '!M29</f>
        <v>7000</v>
      </c>
      <c r="D16" s="43">
        <v>2024</v>
      </c>
      <c r="E16" s="43">
        <v>10</v>
      </c>
      <c r="F16" s="43">
        <f t="shared" si="1"/>
        <v>2034</v>
      </c>
      <c r="G16" s="142">
        <v>0.05</v>
      </c>
      <c r="H16" s="144">
        <f t="shared" si="0"/>
        <v>35</v>
      </c>
    </row>
    <row r="17" spans="1:8">
      <c r="A17" t="s">
        <v>192</v>
      </c>
      <c r="B17" s="43">
        <v>1</v>
      </c>
      <c r="C17">
        <v>20000</v>
      </c>
      <c r="D17" s="43">
        <v>2024</v>
      </c>
      <c r="E17" s="43">
        <v>10</v>
      </c>
      <c r="F17" s="43">
        <f t="shared" si="1"/>
        <v>2034</v>
      </c>
      <c r="G17" s="142">
        <v>0.05</v>
      </c>
      <c r="H17" s="144">
        <f t="shared" si="0"/>
        <v>100</v>
      </c>
    </row>
    <row r="18" spans="1:8">
      <c r="A18" t="s">
        <v>193</v>
      </c>
      <c r="B18" s="43">
        <v>1</v>
      </c>
      <c r="C18">
        <v>11000</v>
      </c>
      <c r="D18" s="43">
        <v>2024</v>
      </c>
      <c r="E18" s="43">
        <v>10</v>
      </c>
      <c r="F18" s="43">
        <f t="shared" si="1"/>
        <v>2034</v>
      </c>
      <c r="G18" s="142">
        <v>0.05</v>
      </c>
      <c r="H18" s="144">
        <f t="shared" si="0"/>
        <v>55</v>
      </c>
    </row>
    <row r="19" spans="1:8" ht="44.25">
      <c r="A19" s="41" t="s">
        <v>194</v>
      </c>
      <c r="B19" s="165">
        <v>1</v>
      </c>
      <c r="C19" s="166">
        <f>'Assumptions '!M23</f>
        <v>300</v>
      </c>
      <c r="D19" s="165">
        <v>2024</v>
      </c>
      <c r="E19" s="43"/>
      <c r="F19" s="43"/>
      <c r="G19" s="142"/>
    </row>
    <row r="20" spans="1:8">
      <c r="B20" s="43"/>
      <c r="D20" s="43"/>
      <c r="E20" s="43"/>
      <c r="F20" s="43"/>
      <c r="G20" s="142"/>
    </row>
    <row r="21" spans="1:8">
      <c r="B21" s="43"/>
      <c r="D21" s="43"/>
      <c r="E21" s="43"/>
      <c r="F21" s="43"/>
      <c r="G21" s="142"/>
    </row>
    <row r="22" spans="1:8">
      <c r="B22" s="43"/>
      <c r="D22" s="43"/>
      <c r="E22" s="43"/>
      <c r="F22" s="43"/>
      <c r="G22" s="142"/>
    </row>
    <row r="23" spans="1:8">
      <c r="B23" s="43"/>
      <c r="D23" s="43"/>
      <c r="E23" s="43"/>
      <c r="F23" s="43"/>
      <c r="G23" s="142"/>
    </row>
    <row r="24" spans="1:8" ht="15.5" thickBot="1">
      <c r="A24" s="137" t="s">
        <v>82</v>
      </c>
      <c r="B24" s="137"/>
      <c r="C24" s="137"/>
      <c r="D24" s="137"/>
      <c r="E24" s="137"/>
      <c r="F24" s="137"/>
      <c r="G24" s="137"/>
      <c r="H24" s="137">
        <f>SUM(H6:H23)</f>
        <v>2428.5</v>
      </c>
    </row>
    <row r="25" spans="1:8" ht="15.5" thickTop="1"/>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2430-A408-4D04-8A6D-9072125B5E95}">
  <dimension ref="A1:I46"/>
  <sheetViews>
    <sheetView zoomScale="90" workbookViewId="0">
      <selection activeCell="A42" sqref="A42"/>
    </sheetView>
  </sheetViews>
  <sheetFormatPr defaultRowHeight="14.75"/>
  <cols>
    <col min="1" max="1" width="52.453125" bestFit="1" customWidth="1"/>
    <col min="2" max="2" width="13.54296875" bestFit="1" customWidth="1"/>
    <col min="3" max="3" width="17.36328125" customWidth="1"/>
    <col min="5" max="5" width="8.7265625" customWidth="1"/>
    <col min="6" max="6" width="8.7265625" hidden="1" customWidth="1"/>
    <col min="7" max="7" width="46.26953125" bestFit="1" customWidth="1"/>
    <col min="8" max="8" width="13.54296875" bestFit="1" customWidth="1"/>
    <col min="9" max="9" width="14.1328125" bestFit="1" customWidth="1"/>
  </cols>
  <sheetData>
    <row r="1" spans="1:9">
      <c r="A1" s="1" t="s">
        <v>201</v>
      </c>
      <c r="B1" s="2"/>
      <c r="C1" s="3"/>
      <c r="G1" s="1"/>
      <c r="H1" s="161"/>
      <c r="I1" s="3"/>
    </row>
    <row r="2" spans="1:9" ht="17">
      <c r="A2" s="7" t="s">
        <v>202</v>
      </c>
      <c r="B2" s="2" t="s">
        <v>0</v>
      </c>
      <c r="C2" s="3" t="s">
        <v>0</v>
      </c>
      <c r="G2" s="1"/>
      <c r="H2" s="161"/>
      <c r="I2" s="3"/>
    </row>
    <row r="3" spans="1:9">
      <c r="B3" s="146"/>
      <c r="C3" s="3"/>
      <c r="G3" s="1"/>
      <c r="H3" s="161"/>
      <c r="I3" s="3"/>
    </row>
    <row r="4" spans="1:9">
      <c r="A4" s="1" t="s">
        <v>203</v>
      </c>
      <c r="B4" s="146">
        <f>'Tab -1 Sales forcast|revenue '!I22</f>
        <v>1143750</v>
      </c>
      <c r="C4" s="3"/>
      <c r="H4" s="161"/>
      <c r="I4" s="3"/>
    </row>
    <row r="5" spans="1:9">
      <c r="A5" s="1"/>
      <c r="B5" s="146"/>
      <c r="C5" s="3"/>
      <c r="G5" s="1"/>
      <c r="H5" s="161"/>
      <c r="I5" s="3"/>
    </row>
    <row r="6" spans="1:9" ht="15.5" thickBot="1">
      <c r="A6" s="4" t="s">
        <v>204</v>
      </c>
      <c r="B6" s="5"/>
      <c r="C6" s="6">
        <f>SUM(B4:B5)</f>
        <v>1143750</v>
      </c>
      <c r="G6" s="1"/>
      <c r="H6" s="161"/>
      <c r="I6" s="3"/>
    </row>
    <row r="7" spans="1:9" ht="17.75" thickTop="1">
      <c r="A7" s="7" t="s">
        <v>205</v>
      </c>
      <c r="B7" s="2"/>
      <c r="C7" s="3"/>
      <c r="G7" s="7"/>
      <c r="H7" s="161"/>
      <c r="I7" s="3"/>
    </row>
    <row r="8" spans="1:9">
      <c r="A8" t="s">
        <v>90</v>
      </c>
      <c r="B8" s="146"/>
      <c r="C8" s="3"/>
      <c r="H8" s="161"/>
      <c r="I8" s="3"/>
    </row>
    <row r="9" spans="1:9">
      <c r="A9" s="1" t="s">
        <v>206</v>
      </c>
      <c r="B9" s="2">
        <f>'Tab -1 Sales forcast|revenue '!E14</f>
        <v>671000</v>
      </c>
      <c r="C9" s="3"/>
      <c r="G9" s="1"/>
      <c r="H9" s="162"/>
      <c r="I9" s="3"/>
    </row>
    <row r="10" spans="1:9">
      <c r="A10" s="1" t="s">
        <v>207</v>
      </c>
      <c r="B10" s="2">
        <f>'Assumptions '!L46</f>
        <v>45750</v>
      </c>
      <c r="C10" s="3"/>
      <c r="G10" s="1"/>
      <c r="H10" s="161"/>
      <c r="I10" s="3"/>
    </row>
    <row r="11" spans="1:9">
      <c r="A11" s="1" t="s">
        <v>208</v>
      </c>
      <c r="B11" s="2"/>
      <c r="C11" s="3">
        <f>SUM(B9:B10)</f>
        <v>716750</v>
      </c>
      <c r="G11" s="1"/>
      <c r="H11" s="161"/>
      <c r="I11" s="3"/>
    </row>
    <row r="12" spans="1:9">
      <c r="A12" s="1"/>
      <c r="B12" s="2"/>
      <c r="C12" s="8"/>
      <c r="G12" s="1"/>
      <c r="H12" s="161"/>
      <c r="I12" s="3"/>
    </row>
    <row r="13" spans="1:9" ht="15.5" thickBot="1">
      <c r="A13" s="9" t="s">
        <v>209</v>
      </c>
      <c r="B13" s="5"/>
      <c r="C13" s="6">
        <f>SUM(B4-C11)</f>
        <v>427000</v>
      </c>
      <c r="G13" s="1"/>
      <c r="H13" s="161"/>
      <c r="I13" s="3"/>
    </row>
    <row r="14" spans="1:9" ht="17.75" thickTop="1">
      <c r="A14" s="7" t="s">
        <v>210</v>
      </c>
      <c r="B14" s="2"/>
      <c r="C14" s="3"/>
      <c r="G14" s="1"/>
      <c r="H14" s="161"/>
      <c r="I14" s="3"/>
    </row>
    <row r="15" spans="1:9">
      <c r="A15" s="1"/>
      <c r="B15" s="2"/>
      <c r="C15" s="3"/>
      <c r="G15" s="1"/>
      <c r="H15" s="161"/>
      <c r="I15" s="3"/>
    </row>
    <row r="16" spans="1:9">
      <c r="A16" s="1"/>
      <c r="B16" s="2"/>
      <c r="C16" s="3"/>
      <c r="G16" s="1"/>
      <c r="H16" s="161"/>
      <c r="I16" s="3"/>
    </row>
    <row r="17" spans="1:9">
      <c r="A17" s="1"/>
      <c r="C17" s="3"/>
      <c r="G17" s="1"/>
      <c r="H17" s="161"/>
      <c r="I17" s="3"/>
    </row>
    <row r="18" spans="1:9">
      <c r="A18" s="1" t="s">
        <v>211</v>
      </c>
      <c r="B18" s="2">
        <f>'Assumptions '!H60+'Assumptions '!H64+'Assumptions '!H63</f>
        <v>9025</v>
      </c>
      <c r="C18" s="3"/>
      <c r="G18" s="1"/>
      <c r="H18" s="161"/>
      <c r="I18" s="8"/>
    </row>
    <row r="19" spans="1:9">
      <c r="A19" s="1" t="s">
        <v>212</v>
      </c>
      <c r="B19" s="162">
        <f>'Assumptions '!L44</f>
        <v>3660</v>
      </c>
      <c r="C19" s="3"/>
      <c r="G19" s="17"/>
      <c r="H19" s="161"/>
      <c r="I19" s="3"/>
    </row>
    <row r="20" spans="1:9" ht="17">
      <c r="A20" s="1" t="s">
        <v>213</v>
      </c>
      <c r="B20" s="2">
        <f>'Assumptions '!L75</f>
        <v>24231.724137931036</v>
      </c>
      <c r="C20" s="3"/>
      <c r="G20" s="7"/>
      <c r="H20" s="161"/>
      <c r="I20" s="3"/>
    </row>
    <row r="21" spans="1:9">
      <c r="A21" s="1" t="s">
        <v>214</v>
      </c>
      <c r="B21" s="2">
        <f>'Assumptions '!L52</f>
        <v>12200</v>
      </c>
      <c r="C21" s="3"/>
      <c r="G21" s="1"/>
      <c r="H21" s="161"/>
      <c r="I21" s="3"/>
    </row>
    <row r="22" spans="1:9">
      <c r="A22" s="1"/>
      <c r="B22" s="2"/>
      <c r="C22" s="3"/>
      <c r="G22" s="1"/>
      <c r="H22" s="161"/>
      <c r="I22" s="3"/>
    </row>
    <row r="23" spans="1:9">
      <c r="A23" s="1"/>
      <c r="B23" s="2"/>
      <c r="C23" s="3"/>
      <c r="G23" s="1"/>
      <c r="H23" s="161"/>
      <c r="I23" s="3"/>
    </row>
    <row r="24" spans="1:9">
      <c r="A24" s="1" t="s">
        <v>215</v>
      </c>
      <c r="B24" s="2">
        <f>SUM(B18:B23)</f>
        <v>49116.724137931036</v>
      </c>
      <c r="C24" s="8"/>
      <c r="G24" s="1"/>
      <c r="H24" s="161"/>
      <c r="I24" s="3"/>
    </row>
    <row r="25" spans="1:9">
      <c r="A25" s="1" t="s">
        <v>216</v>
      </c>
      <c r="B25" s="2"/>
      <c r="C25" s="3">
        <f>C13-B24</f>
        <v>377883.27586206899</v>
      </c>
      <c r="G25" s="1"/>
      <c r="H25" s="161"/>
      <c r="I25" s="3"/>
    </row>
    <row r="26" spans="1:9" ht="15.5" thickBot="1">
      <c r="A26" s="11"/>
      <c r="B26" s="10"/>
      <c r="C26" s="6"/>
      <c r="G26" s="1"/>
      <c r="H26" s="161"/>
      <c r="I26" s="3"/>
    </row>
    <row r="27" spans="1:9" ht="15.5" thickTop="1">
      <c r="A27" t="s">
        <v>217</v>
      </c>
      <c r="B27" s="12"/>
      <c r="C27" s="12"/>
      <c r="G27" s="1"/>
      <c r="H27" s="161"/>
      <c r="I27" s="3"/>
    </row>
    <row r="28" spans="1:9">
      <c r="A28" t="s">
        <v>218</v>
      </c>
      <c r="B28" s="12">
        <f>'Tab - 3 P&amp;E|Depreciation '!H24</f>
        <v>2428.5</v>
      </c>
      <c r="C28" s="12"/>
      <c r="G28" s="1"/>
      <c r="H28" s="161"/>
      <c r="I28" s="3"/>
    </row>
    <row r="29" spans="1:9">
      <c r="A29" s="1" t="s">
        <v>219</v>
      </c>
      <c r="B29" s="12"/>
      <c r="C29" s="12"/>
      <c r="G29" s="1"/>
      <c r="H29" s="161"/>
      <c r="I29" s="3"/>
    </row>
    <row r="30" spans="1:9">
      <c r="A30" s="1" t="s">
        <v>7</v>
      </c>
      <c r="B30" s="12"/>
      <c r="C30" s="12"/>
      <c r="G30" s="1"/>
      <c r="H30" s="161"/>
      <c r="I30" s="3"/>
    </row>
    <row r="31" spans="1:9" ht="15.5" thickBot="1">
      <c r="A31" s="14" t="s">
        <v>4</v>
      </c>
      <c r="B31" s="13"/>
      <c r="C31" s="13">
        <f>C25-B28</f>
        <v>375454.77586206899</v>
      </c>
      <c r="G31" s="1"/>
      <c r="H31" s="161"/>
      <c r="I31" s="8"/>
    </row>
    <row r="32" spans="1:9" ht="15.5" thickTop="1">
      <c r="B32" s="12"/>
      <c r="C32" s="12"/>
      <c r="G32" s="1"/>
      <c r="H32" s="161"/>
      <c r="I32" s="8"/>
    </row>
    <row r="33" spans="1:9">
      <c r="A33" t="s">
        <v>220</v>
      </c>
      <c r="B33" s="12">
        <f>SUM(C31/100)*18</f>
        <v>67581.859655172419</v>
      </c>
      <c r="C33" s="12"/>
      <c r="G33" s="163"/>
      <c r="H33" s="164"/>
      <c r="I33" s="3"/>
    </row>
    <row r="34" spans="1:9">
      <c r="B34" s="12"/>
      <c r="C34" s="12"/>
      <c r="H34" s="12"/>
      <c r="I34" s="12"/>
    </row>
    <row r="35" spans="1:9" ht="15.5" thickBot="1">
      <c r="A35" s="14" t="s">
        <v>5</v>
      </c>
      <c r="B35" s="13"/>
      <c r="C35" s="13">
        <f>C31-B33</f>
        <v>307872.91620689654</v>
      </c>
      <c r="H35" s="12"/>
      <c r="I35" s="12"/>
    </row>
    <row r="36" spans="1:9" ht="15.5" thickTop="1">
      <c r="B36" s="12"/>
      <c r="C36" s="12"/>
      <c r="G36" s="1"/>
      <c r="H36" s="12"/>
      <c r="I36" s="12"/>
    </row>
    <row r="37" spans="1:9">
      <c r="A37" s="1" t="s">
        <v>221</v>
      </c>
      <c r="B37" s="12">
        <f>SUM(C35/100)*31</f>
        <v>95440.604024137923</v>
      </c>
      <c r="C37" s="12"/>
      <c r="G37" s="1"/>
      <c r="H37" s="12"/>
      <c r="I37" s="12"/>
    </row>
    <row r="38" spans="1:9">
      <c r="B38" s="12"/>
      <c r="C38" s="12"/>
      <c r="G38" s="15"/>
      <c r="H38" s="12"/>
      <c r="I38" s="12"/>
    </row>
    <row r="39" spans="1:9" ht="15.5" thickBot="1">
      <c r="A39" s="14" t="s">
        <v>222</v>
      </c>
      <c r="B39" s="13"/>
      <c r="C39" s="13">
        <f>C35-B37</f>
        <v>212432.31218275861</v>
      </c>
      <c r="H39" s="12"/>
      <c r="I39" s="12"/>
    </row>
    <row r="40" spans="1:9" ht="15.5" thickTop="1">
      <c r="B40" s="12"/>
      <c r="C40" s="12"/>
      <c r="H40" s="12"/>
      <c r="I40" s="12"/>
    </row>
    <row r="41" spans="1:9">
      <c r="B41" s="12"/>
      <c r="C41" s="12"/>
      <c r="H41" s="12"/>
      <c r="I41" s="12"/>
    </row>
    <row r="42" spans="1:9">
      <c r="A42" s="15"/>
      <c r="B42" s="12"/>
      <c r="C42" s="12"/>
      <c r="G42" s="15"/>
      <c r="H42" s="12"/>
      <c r="I42" s="12"/>
    </row>
    <row r="43" spans="1:9">
      <c r="B43" s="12"/>
      <c r="C43" s="12"/>
      <c r="H43" s="12"/>
      <c r="I43" s="12"/>
    </row>
    <row r="44" spans="1:9">
      <c r="A44" s="1"/>
      <c r="B44" s="12"/>
      <c r="C44" s="12"/>
      <c r="G44" s="1"/>
      <c r="H44" s="12"/>
      <c r="I44" s="12"/>
    </row>
    <row r="45" spans="1:9">
      <c r="B45" s="12"/>
      <c r="C45" s="12"/>
      <c r="H45" s="12"/>
      <c r="I45" s="12"/>
    </row>
    <row r="46" spans="1:9">
      <c r="A46" s="15"/>
      <c r="B46" s="12"/>
      <c r="C46" s="12"/>
      <c r="G46" s="15"/>
      <c r="H46" s="12"/>
      <c r="I46" s="1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CB4E-FD5B-4A2B-844A-830F497C065C}">
  <dimension ref="A1:G24"/>
  <sheetViews>
    <sheetView showGridLines="0" topLeftCell="E1" workbookViewId="0">
      <selection activeCell="C10" sqref="C10"/>
    </sheetView>
  </sheetViews>
  <sheetFormatPr defaultRowHeight="14.75"/>
  <cols>
    <col min="1" max="1" width="21.1328125" bestFit="1" customWidth="1"/>
    <col min="2" max="2" width="17.04296875" customWidth="1"/>
    <col min="3" max="3" width="13.40625" bestFit="1" customWidth="1"/>
    <col min="5" max="5" width="23.58984375" bestFit="1" customWidth="1"/>
    <col min="6" max="6" width="13.40625" bestFit="1" customWidth="1"/>
    <col min="7" max="7" width="13.54296875" bestFit="1" customWidth="1"/>
  </cols>
  <sheetData>
    <row r="1" spans="1:7" ht="15.5" thickBot="1">
      <c r="A1" s="189" t="s">
        <v>251</v>
      </c>
      <c r="B1" s="190"/>
      <c r="C1" s="190"/>
      <c r="D1" s="190"/>
      <c r="E1" s="190"/>
      <c r="F1" s="190"/>
      <c r="G1" s="191"/>
    </row>
    <row r="2" spans="1:7">
      <c r="B2" s="1"/>
      <c r="C2" s="1"/>
      <c r="D2" s="1"/>
      <c r="F2" s="1"/>
    </row>
    <row r="3" spans="1:7">
      <c r="B3" s="1"/>
      <c r="C3" s="1"/>
      <c r="D3" s="1"/>
      <c r="F3" s="1"/>
    </row>
    <row r="4" spans="1:7">
      <c r="A4" s="15" t="s">
        <v>223</v>
      </c>
      <c r="B4" s="16" t="s">
        <v>6</v>
      </c>
      <c r="C4" s="1"/>
      <c r="D4" s="1"/>
      <c r="E4" s="15" t="s">
        <v>238</v>
      </c>
      <c r="F4" s="16" t="s">
        <v>6</v>
      </c>
    </row>
    <row r="5" spans="1:7">
      <c r="A5" s="15" t="s">
        <v>224</v>
      </c>
      <c r="B5" s="16"/>
      <c r="C5" s="1"/>
      <c r="D5" s="1"/>
      <c r="E5" s="15" t="s">
        <v>239</v>
      </c>
      <c r="F5" s="16"/>
      <c r="G5" s="16"/>
    </row>
    <row r="6" spans="1:7">
      <c r="A6" t="s">
        <v>225</v>
      </c>
      <c r="B6" s="16">
        <f>'Tab - 3 P&amp;E|Depreciation '!C6</f>
        <v>50000</v>
      </c>
      <c r="C6" s="1"/>
      <c r="D6" s="1"/>
      <c r="E6" t="s">
        <v>240</v>
      </c>
      <c r="F6" s="16">
        <v>0</v>
      </c>
      <c r="G6" s="16"/>
    </row>
    <row r="7" spans="1:7">
      <c r="A7" t="s">
        <v>226</v>
      </c>
      <c r="B7" s="16">
        <f>'Tab - 3 P&amp;E|Depreciation '!C7+'Tab - 3 P&amp;E|Depreciation '!C8+'Tab - 3 P&amp;E|Depreciation '!C9+'Tab - 3 P&amp;E|Depreciation '!C10+'Tab - 3 P&amp;E|Depreciation '!C11</f>
        <v>129000</v>
      </c>
      <c r="C7" s="1"/>
      <c r="D7" s="1"/>
      <c r="F7" s="16"/>
      <c r="G7" s="16"/>
    </row>
    <row r="8" spans="1:7">
      <c r="A8" t="s">
        <v>227</v>
      </c>
      <c r="B8" s="16">
        <f>'Tab - 3 P&amp;E|Depreciation '!C12+'Tab - 3 P&amp;E|Depreciation '!C13+'Tab - 3 P&amp;E|Depreciation '!C14+'Tab - 3 P&amp;E|Depreciation '!C15+'Tab - 3 P&amp;E|Depreciation '!C16+'Tab - 3 P&amp;E|Depreciation '!C17</f>
        <v>96400</v>
      </c>
      <c r="C8" s="1"/>
      <c r="D8" s="1"/>
      <c r="E8" s="15" t="s">
        <v>241</v>
      </c>
      <c r="F8" s="16"/>
      <c r="G8" s="16">
        <f>SUM(F6:F7)</f>
        <v>0</v>
      </c>
    </row>
    <row r="9" spans="1:7">
      <c r="A9" t="s">
        <v>228</v>
      </c>
      <c r="B9" s="16">
        <v>0</v>
      </c>
      <c r="C9" s="1"/>
      <c r="D9" s="1"/>
      <c r="F9" s="16"/>
      <c r="G9" s="16"/>
    </row>
    <row r="10" spans="1:7">
      <c r="A10" s="15" t="s">
        <v>229</v>
      </c>
      <c r="B10" s="16"/>
      <c r="C10" s="16">
        <f>SUM(B6:B9)</f>
        <v>275400</v>
      </c>
      <c r="D10" s="1"/>
      <c r="E10" t="s">
        <v>242</v>
      </c>
      <c r="F10" s="16">
        <v>0</v>
      </c>
      <c r="G10" s="16"/>
    </row>
    <row r="11" spans="1:7">
      <c r="B11" s="16"/>
      <c r="C11" s="17"/>
      <c r="D11" s="17"/>
      <c r="E11" t="s">
        <v>243</v>
      </c>
      <c r="F11" s="16">
        <v>0</v>
      </c>
      <c r="G11" s="16"/>
    </row>
    <row r="12" spans="1:7">
      <c r="B12" s="16"/>
      <c r="C12" s="1"/>
      <c r="D12" s="1"/>
      <c r="E12" t="s">
        <v>244</v>
      </c>
      <c r="F12" s="18">
        <v>0</v>
      </c>
      <c r="G12" s="16"/>
    </row>
    <row r="13" spans="1:7">
      <c r="A13" s="15" t="s">
        <v>230</v>
      </c>
      <c r="B13" s="16"/>
      <c r="C13" s="1"/>
      <c r="D13" s="1"/>
      <c r="E13" s="15" t="s">
        <v>245</v>
      </c>
      <c r="F13" s="19"/>
      <c r="G13" s="16">
        <v>0</v>
      </c>
    </row>
    <row r="14" spans="1:7">
      <c r="A14" t="s">
        <v>231</v>
      </c>
      <c r="B14" s="16"/>
      <c r="C14" s="1"/>
      <c r="D14" s="1"/>
      <c r="F14" s="16"/>
      <c r="G14" s="16"/>
    </row>
    <row r="15" spans="1:7">
      <c r="A15" t="s">
        <v>232</v>
      </c>
      <c r="B15" s="16">
        <f>'Income statement'!B4</f>
        <v>1143750</v>
      </c>
      <c r="C15" s="1"/>
      <c r="D15" s="1"/>
      <c r="E15" s="15" t="s">
        <v>246</v>
      </c>
      <c r="F15" s="16"/>
      <c r="G15" s="16"/>
    </row>
    <row r="16" spans="1:7">
      <c r="A16" t="s">
        <v>233</v>
      </c>
      <c r="B16" s="16">
        <v>0</v>
      </c>
      <c r="C16" s="1"/>
      <c r="D16" s="1"/>
      <c r="E16" t="s">
        <v>247</v>
      </c>
      <c r="F16" s="16">
        <v>0</v>
      </c>
      <c r="G16" s="16"/>
    </row>
    <row r="17" spans="1:7">
      <c r="A17" t="s">
        <v>234</v>
      </c>
      <c r="B17" s="16">
        <v>0</v>
      </c>
      <c r="C17" s="1"/>
      <c r="D17" s="1"/>
      <c r="F17" s="16"/>
      <c r="G17" s="16"/>
    </row>
    <row r="18" spans="1:7">
      <c r="A18" t="s">
        <v>235</v>
      </c>
      <c r="B18" s="16">
        <v>0</v>
      </c>
      <c r="C18" s="1"/>
      <c r="D18" s="1"/>
      <c r="E18" t="s">
        <v>248</v>
      </c>
      <c r="F18" s="16">
        <f>'Income statement'!C46</f>
        <v>0</v>
      </c>
      <c r="G18" s="16"/>
    </row>
    <row r="19" spans="1:7">
      <c r="A19" s="15" t="s">
        <v>236</v>
      </c>
      <c r="B19" s="16"/>
      <c r="C19" s="16">
        <f>SUM(B15:B18)</f>
        <v>1143750</v>
      </c>
      <c r="D19" s="1"/>
      <c r="E19" s="15" t="s">
        <v>249</v>
      </c>
      <c r="G19" s="23">
        <f>SUM(F16:F18)</f>
        <v>0</v>
      </c>
    </row>
    <row r="20" spans="1:7">
      <c r="B20" s="16"/>
      <c r="C20" s="1"/>
      <c r="D20" s="1"/>
      <c r="F20" s="16"/>
      <c r="G20" s="16"/>
    </row>
    <row r="21" spans="1:7" ht="15.5" thickBot="1">
      <c r="A21" s="20" t="s">
        <v>237</v>
      </c>
      <c r="B21" s="22"/>
      <c r="C21" s="27">
        <f>C19+C10</f>
        <v>1419150</v>
      </c>
      <c r="D21" s="1"/>
      <c r="E21" s="20" t="s">
        <v>250</v>
      </c>
      <c r="F21" s="21"/>
      <c r="G21" s="27" t="e" cm="1">
        <f t="array" ref="G21">SUM('Income statement'!B3G8+G13+G19)</f>
        <v>#NAME?</v>
      </c>
    </row>
    <row r="22" spans="1:7" ht="15.5" thickTop="1"/>
    <row r="24" spans="1:7">
      <c r="E24" s="28" t="s">
        <v>18</v>
      </c>
    </row>
  </sheetData>
  <mergeCells count="1">
    <mergeCell ref="A1:G1"/>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BAD33-2FE8-4EBE-BAA3-2FB8BA17F8EB}">
  <dimension ref="A1:B19"/>
  <sheetViews>
    <sheetView workbookViewId="0">
      <selection activeCell="B10" sqref="B10"/>
    </sheetView>
  </sheetViews>
  <sheetFormatPr defaultRowHeight="14.75"/>
  <cols>
    <col min="1" max="1" width="42.40625" bestFit="1" customWidth="1"/>
    <col min="2" max="2" width="11.90625" bestFit="1" customWidth="1"/>
  </cols>
  <sheetData>
    <row r="1" spans="1:2">
      <c r="A1" s="24" t="s">
        <v>8</v>
      </c>
    </row>
    <row r="3" spans="1:2" ht="15.5" thickBot="1">
      <c r="A3" s="20" t="s">
        <v>9</v>
      </c>
      <c r="B3" s="21"/>
    </row>
    <row r="4" spans="1:2" ht="15.5" thickTop="1">
      <c r="A4" s="1" t="s">
        <v>2</v>
      </c>
      <c r="B4" s="16">
        <v>0</v>
      </c>
    </row>
    <row r="5" spans="1:2">
      <c r="A5" s="1" t="s">
        <v>3</v>
      </c>
      <c r="B5" s="16">
        <v>0</v>
      </c>
    </row>
    <row r="6" spans="1:2" ht="15.5" thickBot="1">
      <c r="A6" s="25" t="s">
        <v>10</v>
      </c>
      <c r="B6" s="22">
        <f>SUM(B4:B5)</f>
        <v>0</v>
      </c>
    </row>
    <row r="7" spans="1:2" ht="15.5" thickTop="1">
      <c r="A7" s="1"/>
      <c r="B7" s="16"/>
    </row>
    <row r="8" spans="1:2">
      <c r="A8" s="1"/>
      <c r="B8" s="16"/>
    </row>
    <row r="9" spans="1:2" ht="15.5" thickBot="1">
      <c r="A9" s="20" t="s">
        <v>11</v>
      </c>
      <c r="B9" s="21"/>
    </row>
    <row r="10" spans="1:2" ht="15.5" thickTop="1">
      <c r="A10" s="1" t="s">
        <v>1</v>
      </c>
      <c r="B10" s="16">
        <v>0</v>
      </c>
    </row>
    <row r="11" spans="1:2">
      <c r="A11" s="1" t="s">
        <v>15</v>
      </c>
      <c r="B11" s="16">
        <v>0</v>
      </c>
    </row>
    <row r="12" spans="1:2" ht="15.5" thickBot="1">
      <c r="A12" s="20" t="s">
        <v>12</v>
      </c>
      <c r="B12" s="22">
        <f>SUM(B10:B11)</f>
        <v>0</v>
      </c>
    </row>
    <row r="13" spans="1:2" ht="15.5" thickTop="1"/>
    <row r="15" spans="1:2" ht="15.5" thickBot="1">
      <c r="A15" s="20" t="s">
        <v>13</v>
      </c>
      <c r="B15" s="26"/>
    </row>
    <row r="16" spans="1:2" ht="15.5" thickTop="1">
      <c r="A16" s="1" t="s">
        <v>16</v>
      </c>
      <c r="B16" s="16">
        <v>0</v>
      </c>
    </row>
    <row r="17" spans="1:2">
      <c r="A17" s="1" t="s">
        <v>17</v>
      </c>
      <c r="B17" s="16">
        <v>0</v>
      </c>
    </row>
    <row r="18" spans="1:2" ht="15.5" thickBot="1">
      <c r="A18" s="20" t="s">
        <v>14</v>
      </c>
      <c r="B18" s="22">
        <f>SUM(B16:B17)</f>
        <v>0</v>
      </c>
    </row>
    <row r="19" spans="1:2" ht="15.5" thickTop="1">
      <c r="B19"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0D7E2-9FF2-4596-B95A-ABA2CD832199}">
  <dimension ref="A1:AE43"/>
  <sheetViews>
    <sheetView showGridLines="0" zoomScale="50" zoomScaleNormal="50" workbookViewId="0">
      <selection activeCell="Q6" sqref="Q6"/>
    </sheetView>
  </sheetViews>
  <sheetFormatPr defaultColWidth="8.81640625" defaultRowHeight="14.75"/>
  <cols>
    <col min="1" max="1" width="9.54296875" bestFit="1" customWidth="1"/>
    <col min="2" max="2" width="52.81640625" customWidth="1"/>
    <col min="3" max="3" width="31.81640625" bestFit="1" customWidth="1"/>
    <col min="4" max="4" width="27.1796875" customWidth="1"/>
    <col min="5" max="5" width="14.26953125" bestFit="1" customWidth="1"/>
    <col min="6" max="6" width="15.86328125" bestFit="1" customWidth="1"/>
    <col min="7" max="7" width="12.5" bestFit="1" customWidth="1"/>
    <col min="8" max="8" width="14.26953125" bestFit="1" customWidth="1"/>
    <col min="9" max="9" width="11.40625" bestFit="1" customWidth="1"/>
    <col min="10" max="10" width="14.26953125" bestFit="1" customWidth="1"/>
    <col min="11" max="11" width="14.26953125" style="15" bestFit="1" customWidth="1"/>
    <col min="12" max="12" width="11.40625" style="15" bestFit="1" customWidth="1"/>
    <col min="13" max="13" width="9.54296875" style="15" bestFit="1" customWidth="1"/>
    <col min="14" max="14" width="16.1328125" style="15" bestFit="1" customWidth="1"/>
    <col min="15" max="15" width="16.1328125" bestFit="1" customWidth="1"/>
    <col min="16" max="16" width="22.76953125" bestFit="1" customWidth="1"/>
    <col min="17" max="17" width="20.7265625" bestFit="1" customWidth="1"/>
    <col min="18" max="18" width="20.86328125" bestFit="1" customWidth="1"/>
    <col min="19" max="19" width="14.26953125" style="15" bestFit="1" customWidth="1"/>
    <col min="20" max="20" width="14.26953125" bestFit="1" customWidth="1"/>
    <col min="21" max="21" width="16.1328125" style="15" bestFit="1" customWidth="1"/>
    <col min="28" max="28" width="8.1796875" bestFit="1" customWidth="1"/>
    <col min="29" max="29" width="10.1796875" bestFit="1" customWidth="1"/>
  </cols>
  <sheetData>
    <row r="1" spans="1:31" ht="28" customHeight="1">
      <c r="A1" s="195" t="s">
        <v>20</v>
      </c>
      <c r="B1" s="195"/>
      <c r="C1" s="195"/>
      <c r="D1" s="195"/>
      <c r="E1" s="195"/>
      <c r="F1" s="195"/>
      <c r="G1" s="195"/>
      <c r="H1" s="195"/>
      <c r="I1" s="195"/>
      <c r="J1" s="195"/>
      <c r="K1" s="195"/>
      <c r="L1" s="195"/>
      <c r="M1" s="195"/>
      <c r="N1" s="195"/>
      <c r="O1" s="195"/>
      <c r="P1" s="195"/>
      <c r="Q1" s="195"/>
      <c r="R1" s="195"/>
      <c r="S1" s="195"/>
      <c r="T1" s="195"/>
      <c r="U1" s="195"/>
    </row>
    <row r="2" spans="1:31" ht="26">
      <c r="A2" s="44"/>
      <c r="B2" s="45"/>
      <c r="C2" s="45"/>
      <c r="D2" s="45"/>
      <c r="E2" s="45"/>
      <c r="F2" s="45"/>
      <c r="G2" s="45"/>
      <c r="H2" s="45"/>
      <c r="I2" s="45">
        <v>1950</v>
      </c>
      <c r="J2" s="45"/>
      <c r="K2" s="46"/>
      <c r="L2" s="46"/>
      <c r="M2" s="46"/>
      <c r="N2" s="46"/>
      <c r="O2" s="45"/>
      <c r="P2" s="45"/>
      <c r="Q2" s="45"/>
      <c r="R2" s="45"/>
      <c r="S2" s="46"/>
      <c r="T2" s="45"/>
      <c r="U2" s="47"/>
      <c r="Z2" s="48"/>
    </row>
    <row r="3" spans="1:31" ht="140" customHeight="1">
      <c r="A3" s="49" t="s">
        <v>21</v>
      </c>
      <c r="B3" s="50" t="s">
        <v>22</v>
      </c>
      <c r="C3" s="50" t="s">
        <v>23</v>
      </c>
      <c r="D3" s="50" t="s">
        <v>24</v>
      </c>
      <c r="E3" s="50" t="s">
        <v>25</v>
      </c>
      <c r="F3" s="50" t="s">
        <v>26</v>
      </c>
      <c r="G3" s="50" t="s">
        <v>27</v>
      </c>
      <c r="H3" s="50" t="s">
        <v>28</v>
      </c>
      <c r="I3" s="50" t="s">
        <v>29</v>
      </c>
      <c r="J3" s="50" t="s">
        <v>30</v>
      </c>
      <c r="K3" s="51" t="s">
        <v>31</v>
      </c>
      <c r="L3" s="51" t="s">
        <v>32</v>
      </c>
      <c r="M3" s="51" t="s">
        <v>33</v>
      </c>
      <c r="N3" s="51" t="s">
        <v>34</v>
      </c>
      <c r="O3" s="50" t="s">
        <v>35</v>
      </c>
      <c r="P3" s="50" t="s">
        <v>36</v>
      </c>
      <c r="Q3" s="50" t="s">
        <v>37</v>
      </c>
      <c r="R3" s="50" t="s">
        <v>38</v>
      </c>
      <c r="S3" s="51" t="s">
        <v>39</v>
      </c>
      <c r="T3" s="50" t="s">
        <v>40</v>
      </c>
      <c r="U3" s="52" t="s">
        <v>41</v>
      </c>
      <c r="Z3" s="48"/>
      <c r="AA3" s="53" t="s">
        <v>42</v>
      </c>
      <c r="AB3" s="53"/>
      <c r="AC3" s="53"/>
      <c r="AD3" s="53"/>
    </row>
    <row r="4" spans="1:31" ht="26">
      <c r="A4" s="196" t="s">
        <v>43</v>
      </c>
      <c r="B4" s="197"/>
      <c r="C4" s="197"/>
      <c r="D4" s="197"/>
      <c r="E4" s="197"/>
      <c r="F4" s="197"/>
      <c r="G4" s="197"/>
      <c r="H4" s="197"/>
      <c r="I4" s="197"/>
      <c r="J4" s="197"/>
      <c r="K4" s="197"/>
      <c r="L4" s="197"/>
      <c r="M4" s="197"/>
      <c r="N4" s="197"/>
      <c r="O4" s="197"/>
      <c r="P4" s="197"/>
      <c r="Q4" s="197"/>
      <c r="R4" s="197"/>
      <c r="S4" s="197"/>
      <c r="T4" s="197"/>
      <c r="U4" s="198"/>
      <c r="Z4" s="48"/>
      <c r="AA4" s="53"/>
      <c r="AB4" s="53"/>
      <c r="AC4" s="53"/>
      <c r="AD4" s="53"/>
    </row>
    <row r="5" spans="1:31" ht="57" customHeight="1">
      <c r="A5" s="54">
        <v>1</v>
      </c>
      <c r="B5" s="55" t="s">
        <v>44</v>
      </c>
      <c r="C5" s="56"/>
      <c r="D5" s="57">
        <v>3572</v>
      </c>
      <c r="E5" s="56">
        <f>30%*D5</f>
        <v>1071.5999999999999</v>
      </c>
      <c r="F5" s="56">
        <v>50</v>
      </c>
      <c r="G5" s="56">
        <f>+D5/25</f>
        <v>142.88</v>
      </c>
      <c r="H5" s="56">
        <f t="shared" ref="H5:H13" si="0">+E5+F5+G5</f>
        <v>1264.48</v>
      </c>
      <c r="I5" s="56">
        <f>+(D5+G5)*5%</f>
        <v>185.74400000000003</v>
      </c>
      <c r="J5" s="56">
        <f>+(D5+G5)*13%</f>
        <v>482.93440000000004</v>
      </c>
      <c r="K5" s="58">
        <f>+I5+J5</f>
        <v>668.67840000000001</v>
      </c>
      <c r="L5" s="58">
        <f t="shared" ref="L5:L13" si="1">3%*(D5+G5)</f>
        <v>111.4464</v>
      </c>
      <c r="M5" s="58">
        <f t="shared" ref="M5:M13" si="2">0.2%*(D5+G5)</f>
        <v>7.4297600000000008</v>
      </c>
      <c r="N5" s="59">
        <f t="shared" ref="N5:N13" si="3">+D5+H5</f>
        <v>4836.4799999999996</v>
      </c>
      <c r="O5" s="60">
        <f t="shared" ref="O5:O13" si="4">+D5+G5</f>
        <v>3714.88</v>
      </c>
      <c r="P5" s="60">
        <f t="shared" ref="P5:P13" si="5">+O5*$I$2</f>
        <v>7244016</v>
      </c>
      <c r="Q5" s="61">
        <f>IF(P5&gt;'[1]Nouveau bareme'!$C$14,(P5-'[1]Nouveau bareme'!$C$14)* '[1]Nouveau bareme'!$B$14+'[1]Nouveau bareme'!$G$13,IF(P5&gt;'[1]Nouveau bareme'!$C$13,(P5-'[1]Nouveau bareme'!$C$13)* '[1]Nouveau bareme'!$B$13+'[1]Nouveau bareme'!$G$12,IF(P5&gt;'[1]Nouveau bareme'!$C$12,(P5-'[1]Nouveau bareme'!$C$12)* '[1]Nouveau bareme'!$B$12+'[1]Nouveau bareme'!$G$11)))</f>
        <v>2243306</v>
      </c>
      <c r="R5" s="60">
        <f t="shared" ref="R5:R22" si="6">30%*P5</f>
        <v>2173204.7999999998</v>
      </c>
      <c r="S5" s="62">
        <f t="shared" ref="S5:S13" si="7">+Q5/$I$2</f>
        <v>1150.4133333333334</v>
      </c>
      <c r="T5" s="63">
        <f>+I5+S5</f>
        <v>1336.1573333333336</v>
      </c>
      <c r="U5" s="64">
        <f>+N5-T5</f>
        <v>3500.322666666666</v>
      </c>
      <c r="Z5" s="48"/>
    </row>
    <row r="6" spans="1:31" ht="46.75" customHeight="1">
      <c r="A6" s="54">
        <v>2</v>
      </c>
      <c r="B6" s="55" t="s">
        <v>45</v>
      </c>
      <c r="C6" s="56"/>
      <c r="D6" s="57">
        <v>1871</v>
      </c>
      <c r="E6" s="56">
        <f>30%*D6</f>
        <v>561.29999999999995</v>
      </c>
      <c r="F6" s="56">
        <v>32.65</v>
      </c>
      <c r="G6" s="56">
        <f t="shared" ref="G6:G13" si="8">+D6/25</f>
        <v>74.84</v>
      </c>
      <c r="H6" s="56">
        <f t="shared" si="0"/>
        <v>668.79</v>
      </c>
      <c r="I6" s="56">
        <f t="shared" ref="I6:I13" si="9">+(D6+G6)*5%</f>
        <v>97.292000000000002</v>
      </c>
      <c r="J6" s="56">
        <f t="shared" ref="J6:J13" si="10">+(D6+G6)*13%</f>
        <v>252.95920000000001</v>
      </c>
      <c r="K6" s="58">
        <f>+I6+J6</f>
        <v>350.25120000000004</v>
      </c>
      <c r="L6" s="58">
        <f t="shared" si="1"/>
        <v>58.375199999999992</v>
      </c>
      <c r="M6" s="58">
        <f t="shared" si="2"/>
        <v>3.89168</v>
      </c>
      <c r="N6" s="59">
        <f t="shared" si="3"/>
        <v>2539.79</v>
      </c>
      <c r="O6" s="60">
        <f t="shared" si="4"/>
        <v>1945.84</v>
      </c>
      <c r="P6" s="60">
        <f t="shared" si="5"/>
        <v>3794388</v>
      </c>
      <c r="Q6" s="61">
        <f>IF(P6&gt;'[1]Nouveau bareme'!$C$14,(P6-'[1]Nouveau bareme'!$C$14)* '[1]Nouveau bareme'!$B$14+'[1]Nouveau bareme'!$G$13,IF(P6&gt;'[1]Nouveau bareme'!$C$13,(P6-'[1]Nouveau bareme'!$C$13)* '[1]Nouveau bareme'!$B$13+'[1]Nouveau bareme'!$G$12,IF(P6&gt;'[1]Nouveau bareme'!$C$12,(P6-'[1]Nouveau bareme'!$C$12)* '[1]Nouveau bareme'!$B$12+'[1]Nouveau bareme'!$G$11)))</f>
        <v>863454.8</v>
      </c>
      <c r="R6" s="60">
        <f t="shared" si="6"/>
        <v>1138316.3999999999</v>
      </c>
      <c r="S6" s="62">
        <f t="shared" si="7"/>
        <v>442.79733333333337</v>
      </c>
      <c r="T6" s="63">
        <f t="shared" ref="T6:T22" si="11">+I6+S6</f>
        <v>540.08933333333334</v>
      </c>
      <c r="U6" s="64">
        <f t="shared" ref="U6:U22" si="12">+N6-T6</f>
        <v>1999.7006666666666</v>
      </c>
      <c r="Z6" s="48"/>
    </row>
    <row r="7" spans="1:31" ht="46.25" customHeight="1">
      <c r="A7" s="54">
        <v>3</v>
      </c>
      <c r="B7" s="55" t="s">
        <v>46</v>
      </c>
      <c r="C7" s="56"/>
      <c r="D7" s="57">
        <v>843.5</v>
      </c>
      <c r="E7" s="56">
        <f t="shared" ref="E7:E13" si="13">30%*D7</f>
        <v>253.04999999999998</v>
      </c>
      <c r="F7" s="56">
        <v>32.65</v>
      </c>
      <c r="G7" s="56">
        <f t="shared" si="8"/>
        <v>33.74</v>
      </c>
      <c r="H7" s="56">
        <f t="shared" si="0"/>
        <v>319.44</v>
      </c>
      <c r="I7" s="56">
        <f t="shared" si="9"/>
        <v>43.862000000000002</v>
      </c>
      <c r="J7" s="56">
        <f t="shared" si="10"/>
        <v>114.0412</v>
      </c>
      <c r="K7" s="58">
        <f t="shared" ref="K7:K22" si="14">+I7+J7</f>
        <v>157.9032</v>
      </c>
      <c r="L7" s="58">
        <f t="shared" si="1"/>
        <v>26.3172</v>
      </c>
      <c r="M7" s="58">
        <f t="shared" si="2"/>
        <v>1.75448</v>
      </c>
      <c r="N7" s="59">
        <f t="shared" si="3"/>
        <v>1162.94</v>
      </c>
      <c r="O7" s="60">
        <f t="shared" si="4"/>
        <v>877.24</v>
      </c>
      <c r="P7" s="60">
        <f t="shared" si="5"/>
        <v>1710618</v>
      </c>
      <c r="Q7" s="61">
        <f>IF(P7&gt;'[1]Nouveau bareme'!$C$14,(P7-'[1]Nouveau bareme'!$C$14)* '[1]Nouveau bareme'!$B$14+'[1]Nouveau bareme'!$G$13,IF(P7&gt;'[1]Nouveau bareme'!$C$13,(P7-'[1]Nouveau bareme'!$C$13)* '[1]Nouveau bareme'!$B$13+'[1]Nouveau bareme'!$G$12,IF(P7&gt;'[1]Nouveau bareme'!$C$12,(P7-'[1]Nouveau bareme'!$C$12)* '[1]Nouveau bareme'!$B$12+'[1]Nouveau bareme'!$G$11)))</f>
        <v>232292.55</v>
      </c>
      <c r="R7" s="60">
        <f t="shared" si="6"/>
        <v>513185.39999999997</v>
      </c>
      <c r="S7" s="62">
        <f t="shared" si="7"/>
        <v>119.12438461538461</v>
      </c>
      <c r="T7" s="63">
        <f t="shared" si="11"/>
        <v>162.98638461538462</v>
      </c>
      <c r="U7" s="64">
        <f t="shared" si="12"/>
        <v>999.95361538461543</v>
      </c>
      <c r="Z7" s="48"/>
    </row>
    <row r="8" spans="1:31" ht="50.75" customHeight="1">
      <c r="A8" s="54">
        <v>4</v>
      </c>
      <c r="B8" s="55" t="s">
        <v>46</v>
      </c>
      <c r="C8" s="56"/>
      <c r="D8" s="57">
        <v>843.5</v>
      </c>
      <c r="E8" s="56">
        <f t="shared" si="13"/>
        <v>253.04999999999998</v>
      </c>
      <c r="F8" s="56">
        <v>32.65</v>
      </c>
      <c r="G8" s="56">
        <f t="shared" si="8"/>
        <v>33.74</v>
      </c>
      <c r="H8" s="56">
        <f t="shared" si="0"/>
        <v>319.44</v>
      </c>
      <c r="I8" s="56">
        <f t="shared" si="9"/>
        <v>43.862000000000002</v>
      </c>
      <c r="J8" s="56">
        <f t="shared" si="10"/>
        <v>114.0412</v>
      </c>
      <c r="K8" s="58">
        <f t="shared" si="14"/>
        <v>157.9032</v>
      </c>
      <c r="L8" s="58">
        <f t="shared" si="1"/>
        <v>26.3172</v>
      </c>
      <c r="M8" s="58">
        <f t="shared" si="2"/>
        <v>1.75448</v>
      </c>
      <c r="N8" s="59">
        <f t="shared" si="3"/>
        <v>1162.94</v>
      </c>
      <c r="O8" s="60">
        <f t="shared" si="4"/>
        <v>877.24</v>
      </c>
      <c r="P8" s="60">
        <f t="shared" si="5"/>
        <v>1710618</v>
      </c>
      <c r="Q8" s="61">
        <f>IF(P8&gt;'[1]Nouveau bareme'!$C$14,(P8-'[1]Nouveau bareme'!$C$14)* '[1]Nouveau bareme'!$B$14+'[1]Nouveau bareme'!$G$13,IF(P8&gt;'[1]Nouveau bareme'!$C$13,(P8-'[1]Nouveau bareme'!$C$13)* '[1]Nouveau bareme'!$B$13+'[1]Nouveau bareme'!$G$12,IF(P8&gt;'[1]Nouveau bareme'!$C$12,(P8-'[1]Nouveau bareme'!$C$12)* '[1]Nouveau bareme'!$B$12+'[1]Nouveau bareme'!$G$11)))</f>
        <v>232292.55</v>
      </c>
      <c r="R8" s="60">
        <f t="shared" si="6"/>
        <v>513185.39999999997</v>
      </c>
      <c r="S8" s="62">
        <f t="shared" si="7"/>
        <v>119.12438461538461</v>
      </c>
      <c r="T8" s="63">
        <f t="shared" si="11"/>
        <v>162.98638461538462</v>
      </c>
      <c r="U8" s="64">
        <f t="shared" si="12"/>
        <v>999.95361538461543</v>
      </c>
      <c r="Z8" s="65" t="s">
        <v>47</v>
      </c>
      <c r="AA8" s="199" t="s">
        <v>48</v>
      </c>
      <c r="AB8" s="200"/>
      <c r="AC8" s="66" t="s">
        <v>49</v>
      </c>
      <c r="AD8" s="67" t="s">
        <v>50</v>
      </c>
      <c r="AE8" s="66" t="s">
        <v>51</v>
      </c>
    </row>
    <row r="9" spans="1:31" ht="53.25" customHeight="1">
      <c r="A9" s="54">
        <v>5</v>
      </c>
      <c r="B9" s="55" t="s">
        <v>46</v>
      </c>
      <c r="C9" s="56"/>
      <c r="D9" s="57">
        <v>843.5</v>
      </c>
      <c r="E9" s="56">
        <f t="shared" si="13"/>
        <v>253.04999999999998</v>
      </c>
      <c r="F9" s="56">
        <v>32.65</v>
      </c>
      <c r="G9" s="56">
        <f t="shared" si="8"/>
        <v>33.74</v>
      </c>
      <c r="H9" s="56">
        <f t="shared" si="0"/>
        <v>319.44</v>
      </c>
      <c r="I9" s="56">
        <f t="shared" si="9"/>
        <v>43.862000000000002</v>
      </c>
      <c r="J9" s="56">
        <f t="shared" si="10"/>
        <v>114.0412</v>
      </c>
      <c r="K9" s="58">
        <f t="shared" si="14"/>
        <v>157.9032</v>
      </c>
      <c r="L9" s="58">
        <f t="shared" si="1"/>
        <v>26.3172</v>
      </c>
      <c r="M9" s="58">
        <f t="shared" si="2"/>
        <v>1.75448</v>
      </c>
      <c r="N9" s="59">
        <f t="shared" si="3"/>
        <v>1162.94</v>
      </c>
      <c r="O9" s="60">
        <f t="shared" si="4"/>
        <v>877.24</v>
      </c>
      <c r="P9" s="60">
        <f t="shared" si="5"/>
        <v>1710618</v>
      </c>
      <c r="Q9" s="61">
        <f>IF(P9&gt;'[1]Nouveau bareme'!$C$14,(P9-'[1]Nouveau bareme'!$C$14)* '[1]Nouveau bareme'!$B$14+'[1]Nouveau bareme'!$G$13,IF(P9&gt;'[1]Nouveau bareme'!$C$13,(P9-'[1]Nouveau bareme'!$C$13)* '[1]Nouveau bareme'!$B$13+'[1]Nouveau bareme'!$G$12,IF(P9&gt;'[1]Nouveau bareme'!$C$12,(P9-'[1]Nouveau bareme'!$C$12)* '[1]Nouveau bareme'!$B$12+'[1]Nouveau bareme'!$G$11)))</f>
        <v>232292.55</v>
      </c>
      <c r="R9" s="60">
        <f t="shared" si="6"/>
        <v>513185.39999999997</v>
      </c>
      <c r="S9" s="62">
        <f t="shared" si="7"/>
        <v>119.12438461538461</v>
      </c>
      <c r="T9" s="63">
        <f t="shared" si="11"/>
        <v>162.98638461538462</v>
      </c>
      <c r="U9" s="64">
        <f t="shared" si="12"/>
        <v>999.95361538461543</v>
      </c>
      <c r="Z9" s="68"/>
      <c r="AA9" s="67"/>
      <c r="AB9" s="67"/>
      <c r="AC9" s="66" t="s">
        <v>52</v>
      </c>
      <c r="AD9" s="67" t="s">
        <v>52</v>
      </c>
      <c r="AE9" s="66" t="s">
        <v>53</v>
      </c>
    </row>
    <row r="10" spans="1:31" ht="51" customHeight="1">
      <c r="A10" s="54">
        <v>6</v>
      </c>
      <c r="B10" s="55" t="s">
        <v>54</v>
      </c>
      <c r="C10" s="56"/>
      <c r="D10" s="57">
        <v>843.5</v>
      </c>
      <c r="E10" s="56">
        <f t="shared" si="13"/>
        <v>253.04999999999998</v>
      </c>
      <c r="F10" s="56">
        <v>32.65</v>
      </c>
      <c r="G10" s="56">
        <f t="shared" si="8"/>
        <v>33.74</v>
      </c>
      <c r="H10" s="56">
        <f t="shared" si="0"/>
        <v>319.44</v>
      </c>
      <c r="I10" s="56">
        <f t="shared" si="9"/>
        <v>43.862000000000002</v>
      </c>
      <c r="J10" s="56">
        <f t="shared" si="10"/>
        <v>114.0412</v>
      </c>
      <c r="K10" s="58">
        <f t="shared" si="14"/>
        <v>157.9032</v>
      </c>
      <c r="L10" s="58">
        <f t="shared" si="1"/>
        <v>26.3172</v>
      </c>
      <c r="M10" s="58">
        <f t="shared" si="2"/>
        <v>1.75448</v>
      </c>
      <c r="N10" s="59">
        <f t="shared" si="3"/>
        <v>1162.94</v>
      </c>
      <c r="O10" s="60">
        <f t="shared" si="4"/>
        <v>877.24</v>
      </c>
      <c r="P10" s="60">
        <f t="shared" si="5"/>
        <v>1710618</v>
      </c>
      <c r="Q10" s="61">
        <f>IF(P10&gt;'[1]Nouveau bareme'!$C$14,(P10-'[1]Nouveau bareme'!$C$14)* '[1]Nouveau bareme'!$B$14+'[1]Nouveau bareme'!$G$13,IF(P10&gt;'[1]Nouveau bareme'!$C$13,(P10-'[1]Nouveau bareme'!$C$13)* '[1]Nouveau bareme'!$B$13+'[1]Nouveau bareme'!$G$12,IF(P10&gt;'[1]Nouveau bareme'!$C$12,(P10-'[1]Nouveau bareme'!$C$12)* '[1]Nouveau bareme'!$B$12+'[1]Nouveau bareme'!$G$11)))</f>
        <v>232292.55</v>
      </c>
      <c r="R10" s="60">
        <f t="shared" si="6"/>
        <v>513185.39999999997</v>
      </c>
      <c r="S10" s="62">
        <f t="shared" si="7"/>
        <v>119.12438461538461</v>
      </c>
      <c r="T10" s="63">
        <f t="shared" si="11"/>
        <v>162.98638461538462</v>
      </c>
      <c r="U10" s="64">
        <f t="shared" si="12"/>
        <v>999.95361538461543</v>
      </c>
      <c r="Z10" s="68"/>
      <c r="AA10" s="67" t="s">
        <v>55</v>
      </c>
      <c r="AB10" s="67" t="s">
        <v>56</v>
      </c>
      <c r="AC10" s="67"/>
      <c r="AD10" s="67"/>
      <c r="AE10" s="67"/>
    </row>
    <row r="11" spans="1:31" ht="46" customHeight="1">
      <c r="A11" s="54">
        <v>7</v>
      </c>
      <c r="B11" s="55" t="s">
        <v>57</v>
      </c>
      <c r="C11" s="56"/>
      <c r="D11" s="69">
        <v>1871</v>
      </c>
      <c r="E11" s="56">
        <f t="shared" si="13"/>
        <v>561.29999999999995</v>
      </c>
      <c r="F11" s="56">
        <v>32.65</v>
      </c>
      <c r="G11" s="56">
        <f t="shared" si="8"/>
        <v>74.84</v>
      </c>
      <c r="H11" s="56">
        <f t="shared" si="0"/>
        <v>668.79</v>
      </c>
      <c r="I11" s="56">
        <f t="shared" si="9"/>
        <v>97.292000000000002</v>
      </c>
      <c r="J11" s="56">
        <f t="shared" si="10"/>
        <v>252.95920000000001</v>
      </c>
      <c r="K11" s="58">
        <f t="shared" si="14"/>
        <v>350.25120000000004</v>
      </c>
      <c r="L11" s="58">
        <f t="shared" si="1"/>
        <v>58.375199999999992</v>
      </c>
      <c r="M11" s="58">
        <f t="shared" si="2"/>
        <v>3.89168</v>
      </c>
      <c r="N11" s="59">
        <f t="shared" si="3"/>
        <v>2539.79</v>
      </c>
      <c r="O11" s="60">
        <f t="shared" si="4"/>
        <v>1945.84</v>
      </c>
      <c r="P11" s="60">
        <f t="shared" si="5"/>
        <v>3794388</v>
      </c>
      <c r="Q11" s="61">
        <f>IF(P11&gt;'[1]Nouveau bareme'!$C$14,(P11-'[1]Nouveau bareme'!$C$14)* '[1]Nouveau bareme'!$B$14+'[1]Nouveau bareme'!$G$13,IF(P11&gt;'[1]Nouveau bareme'!$C$13,(P11-'[1]Nouveau bareme'!$C$13)* '[1]Nouveau bareme'!$B$13+'[1]Nouveau bareme'!$G$12,IF(P11&gt;'[1]Nouveau bareme'!$C$12,(P11-'[1]Nouveau bareme'!$C$12)* '[1]Nouveau bareme'!$B$12+'[1]Nouveau bareme'!$G$11)))</f>
        <v>863454.8</v>
      </c>
      <c r="R11" s="60">
        <f t="shared" si="6"/>
        <v>1138316.3999999999</v>
      </c>
      <c r="S11" s="62">
        <f t="shared" si="7"/>
        <v>442.79733333333337</v>
      </c>
      <c r="T11" s="63">
        <f t="shared" si="11"/>
        <v>540.08933333333334</v>
      </c>
      <c r="U11" s="64">
        <f t="shared" si="12"/>
        <v>1999.7006666666666</v>
      </c>
      <c r="Z11" s="70"/>
      <c r="AA11" s="29"/>
      <c r="AB11" s="29"/>
      <c r="AC11" s="29"/>
      <c r="AD11" s="29"/>
      <c r="AE11" s="29"/>
    </row>
    <row r="12" spans="1:31" ht="45.25" customHeight="1">
      <c r="A12" s="54">
        <v>8</v>
      </c>
      <c r="B12" s="55" t="s">
        <v>58</v>
      </c>
      <c r="C12" s="56"/>
      <c r="D12" s="69">
        <v>225</v>
      </c>
      <c r="E12" s="56">
        <f t="shared" si="13"/>
        <v>67.5</v>
      </c>
      <c r="F12" s="56">
        <v>32.65</v>
      </c>
      <c r="G12" s="56">
        <f t="shared" si="8"/>
        <v>9</v>
      </c>
      <c r="H12" s="56">
        <f t="shared" si="0"/>
        <v>109.15</v>
      </c>
      <c r="I12" s="56">
        <f t="shared" si="9"/>
        <v>11.700000000000001</v>
      </c>
      <c r="J12" s="56">
        <f t="shared" si="10"/>
        <v>30.42</v>
      </c>
      <c r="K12" s="58">
        <f t="shared" si="14"/>
        <v>42.120000000000005</v>
      </c>
      <c r="L12" s="58">
        <f t="shared" si="1"/>
        <v>7.02</v>
      </c>
      <c r="M12" s="58">
        <f t="shared" si="2"/>
        <v>0.46800000000000003</v>
      </c>
      <c r="N12" s="59">
        <f t="shared" si="3"/>
        <v>334.15</v>
      </c>
      <c r="O12" s="60">
        <f t="shared" si="4"/>
        <v>234</v>
      </c>
      <c r="P12" s="60">
        <f t="shared" si="5"/>
        <v>456300</v>
      </c>
      <c r="Q12" s="61">
        <f>IF(P12&gt;'[1]Nouveau bareme'!$C$14,(P12-'[1]Nouveau bareme'!$C$14)* '[1]Nouveau bareme'!$B$14+'[1]Nouveau bareme'!$G$13,IF(P12&gt;'[1]Nouveau bareme'!$C$13,(P12-'[1]Nouveau bareme'!$C$13)* '[1]Nouveau bareme'!$B$13+'[1]Nouveau bareme'!$G$12,IF(P12&gt;'[1]Nouveau bareme'!$C$12,(P12-'[1]Nouveau bareme'!$C$12)* '[1]Nouveau bareme'!$B$12+'[1]Nouveau bareme'!$G$11)))</f>
        <v>44144.85</v>
      </c>
      <c r="R12" s="60">
        <f t="shared" si="6"/>
        <v>136890</v>
      </c>
      <c r="S12" s="62">
        <f t="shared" si="7"/>
        <v>22.638384615384613</v>
      </c>
      <c r="T12" s="63">
        <f t="shared" si="11"/>
        <v>34.338384615384612</v>
      </c>
      <c r="U12" s="64">
        <f t="shared" si="12"/>
        <v>299.81161538461538</v>
      </c>
      <c r="Y12" s="71"/>
      <c r="Z12" s="72"/>
      <c r="AA12" s="73"/>
      <c r="AB12" s="73"/>
      <c r="AC12" s="74"/>
      <c r="AD12" s="74"/>
      <c r="AE12" s="74"/>
    </row>
    <row r="13" spans="1:31" ht="52" customHeight="1">
      <c r="A13" s="54">
        <v>9</v>
      </c>
      <c r="B13" s="55" t="s">
        <v>58</v>
      </c>
      <c r="C13" s="56"/>
      <c r="D13" s="69">
        <v>225</v>
      </c>
      <c r="E13" s="56">
        <f t="shared" si="13"/>
        <v>67.5</v>
      </c>
      <c r="F13" s="56">
        <v>32.65</v>
      </c>
      <c r="G13" s="56">
        <f t="shared" si="8"/>
        <v>9</v>
      </c>
      <c r="H13" s="56">
        <f t="shared" si="0"/>
        <v>109.15</v>
      </c>
      <c r="I13" s="56">
        <f t="shared" si="9"/>
        <v>11.700000000000001</v>
      </c>
      <c r="J13" s="56">
        <f t="shared" si="10"/>
        <v>30.42</v>
      </c>
      <c r="K13" s="58">
        <f t="shared" si="14"/>
        <v>42.120000000000005</v>
      </c>
      <c r="L13" s="58">
        <f t="shared" si="1"/>
        <v>7.02</v>
      </c>
      <c r="M13" s="58">
        <f t="shared" si="2"/>
        <v>0.46800000000000003</v>
      </c>
      <c r="N13" s="59">
        <f t="shared" si="3"/>
        <v>334.15</v>
      </c>
      <c r="O13" s="60">
        <f t="shared" si="4"/>
        <v>234</v>
      </c>
      <c r="P13" s="60">
        <f t="shared" si="5"/>
        <v>456300</v>
      </c>
      <c r="Q13" s="61">
        <f>IF(P13&gt;'[1]Nouveau bareme'!$C$14,(P13-'[1]Nouveau bareme'!$C$14)* '[1]Nouveau bareme'!$B$14+'[1]Nouveau bareme'!$G$13,IF(P13&gt;'[1]Nouveau bareme'!$C$13,(P13-'[1]Nouveau bareme'!$C$13)* '[1]Nouveau bareme'!$B$13+'[1]Nouveau bareme'!$G$12,IF(P13&gt;'[1]Nouveau bareme'!$C$12,(P13-'[1]Nouveau bareme'!$C$12)* '[1]Nouveau bareme'!$B$12+'[1]Nouveau bareme'!$G$11)))</f>
        <v>44144.85</v>
      </c>
      <c r="R13" s="60">
        <f t="shared" si="6"/>
        <v>136890</v>
      </c>
      <c r="S13" s="62">
        <f t="shared" si="7"/>
        <v>22.638384615384613</v>
      </c>
      <c r="T13" s="63">
        <f t="shared" si="11"/>
        <v>34.338384615384612</v>
      </c>
      <c r="U13" s="64">
        <f t="shared" si="12"/>
        <v>299.81161538461538</v>
      </c>
      <c r="Y13" s="71"/>
      <c r="Z13" s="72"/>
      <c r="AA13" s="73"/>
      <c r="AB13" s="73"/>
      <c r="AC13" s="74"/>
      <c r="AD13" s="74"/>
      <c r="AE13" s="74"/>
    </row>
    <row r="14" spans="1:31" ht="48.25" customHeight="1">
      <c r="A14" s="201" t="s">
        <v>59</v>
      </c>
      <c r="B14" s="202"/>
      <c r="C14" s="75"/>
      <c r="D14" s="76">
        <f t="shared" ref="D14:U14" si="15">SUM(D5:D13)</f>
        <v>11138</v>
      </c>
      <c r="E14" s="76">
        <f t="shared" si="15"/>
        <v>3341.4000000000005</v>
      </c>
      <c r="F14" s="76">
        <f t="shared" si="15"/>
        <v>311.2</v>
      </c>
      <c r="G14" s="76">
        <f t="shared" si="15"/>
        <v>445.52</v>
      </c>
      <c r="H14" s="76">
        <f t="shared" si="15"/>
        <v>4098.12</v>
      </c>
      <c r="I14" s="76">
        <f t="shared" si="15"/>
        <v>579.17600000000027</v>
      </c>
      <c r="J14" s="76">
        <f t="shared" si="15"/>
        <v>1505.8576000000005</v>
      </c>
      <c r="K14" s="76">
        <f t="shared" si="15"/>
        <v>2085.0335999999998</v>
      </c>
      <c r="L14" s="76">
        <f t="shared" si="15"/>
        <v>347.50560000000002</v>
      </c>
      <c r="M14" s="76">
        <f t="shared" si="15"/>
        <v>23.167040000000004</v>
      </c>
      <c r="N14" s="76">
        <f t="shared" si="15"/>
        <v>15236.119999999999</v>
      </c>
      <c r="O14" s="76">
        <f t="shared" si="15"/>
        <v>11583.52</v>
      </c>
      <c r="P14" s="76">
        <f t="shared" si="15"/>
        <v>22587864</v>
      </c>
      <c r="Q14" s="77">
        <f t="shared" si="15"/>
        <v>4987675.4999999981</v>
      </c>
      <c r="R14" s="76">
        <f t="shared" si="15"/>
        <v>6776359.2000000011</v>
      </c>
      <c r="S14" s="76">
        <f t="shared" si="15"/>
        <v>2557.7823076923073</v>
      </c>
      <c r="T14" s="76">
        <f t="shared" si="15"/>
        <v>3136.9583076923082</v>
      </c>
      <c r="U14" s="76">
        <f t="shared" si="15"/>
        <v>12099.161692307691</v>
      </c>
      <c r="Y14" s="71">
        <v>6</v>
      </c>
      <c r="Z14" s="78"/>
      <c r="AA14" s="74"/>
      <c r="AB14" s="74"/>
      <c r="AC14" s="74"/>
      <c r="AD14" s="74"/>
      <c r="AE14" s="74"/>
    </row>
    <row r="15" spans="1:31" ht="44.25" customHeight="1">
      <c r="A15" s="203" t="s">
        <v>60</v>
      </c>
      <c r="B15" s="204"/>
      <c r="C15" s="204"/>
      <c r="D15" s="204"/>
      <c r="E15" s="204"/>
      <c r="F15" s="204"/>
      <c r="G15" s="204"/>
      <c r="H15" s="204"/>
      <c r="I15" s="204"/>
      <c r="J15" s="204"/>
      <c r="K15" s="204"/>
      <c r="L15" s="204"/>
      <c r="M15" s="204"/>
      <c r="N15" s="204"/>
      <c r="O15" s="204"/>
      <c r="P15" s="204"/>
      <c r="Q15" s="204"/>
      <c r="R15" s="204"/>
      <c r="S15" s="204"/>
      <c r="T15" s="204"/>
      <c r="U15" s="205"/>
      <c r="Y15" s="71">
        <v>7</v>
      </c>
      <c r="Z15" s="78"/>
      <c r="AA15" s="74"/>
      <c r="AB15" s="74"/>
      <c r="AC15" s="74"/>
      <c r="AD15" s="74"/>
      <c r="AE15" s="74"/>
    </row>
    <row r="16" spans="1:31" ht="42" customHeight="1">
      <c r="A16" s="54">
        <v>13</v>
      </c>
      <c r="B16" s="79" t="s">
        <v>61</v>
      </c>
      <c r="C16" s="80"/>
      <c r="D16" s="81">
        <v>422</v>
      </c>
      <c r="E16" s="82">
        <v>0</v>
      </c>
      <c r="F16" s="82">
        <v>0</v>
      </c>
      <c r="G16" s="82">
        <v>0</v>
      </c>
      <c r="H16" s="82">
        <f t="shared" ref="H16:H22" si="16">+E16+F16+G16</f>
        <v>0</v>
      </c>
      <c r="I16" s="82">
        <f t="shared" ref="I16:I22" si="17">+(D16+G16)*5%</f>
        <v>21.1</v>
      </c>
      <c r="J16" s="82">
        <f t="shared" ref="J16:J22" si="18">+(D16+G16)*13%</f>
        <v>54.86</v>
      </c>
      <c r="K16" s="83">
        <f>+I16+J16</f>
        <v>75.960000000000008</v>
      </c>
      <c r="L16" s="83">
        <f t="shared" ref="L16:L22" si="19">3%*(D16+G16)</f>
        <v>12.66</v>
      </c>
      <c r="M16" s="83">
        <f t="shared" ref="M16:M22" si="20">0.2%*(D16+G16)</f>
        <v>0.84399999999999997</v>
      </c>
      <c r="N16" s="84">
        <f t="shared" ref="N16:N22" si="21">+D16+H16</f>
        <v>422</v>
      </c>
      <c r="O16" s="85">
        <f t="shared" ref="O16:O22" si="22">+D16+G16</f>
        <v>422</v>
      </c>
      <c r="P16" s="85">
        <f t="shared" ref="P16:P22" si="23">+O16*$I$2</f>
        <v>822900</v>
      </c>
      <c r="Q16" s="86">
        <f>IF(P16&gt;'[1]Nouveau bareme'!$C$14,(P16-'[1]Nouveau bareme'!$C$14)* '[1]Nouveau bareme'!$B$14+'[1]Nouveau bareme'!$G$13,IF(P16&gt;'[1]Nouveau bareme'!$C$13,(P16-'[1]Nouveau bareme'!$C$13)* '[1]Nouveau bareme'!$B$13+'[1]Nouveau bareme'!$G$12,IF(P16&gt;'[1]Nouveau bareme'!$C$12,(P16-'[1]Nouveau bareme'!$C$12)* '[1]Nouveau bareme'!$B$12+'[1]Nouveau bareme'!$G$11)))</f>
        <v>99134.849999999991</v>
      </c>
      <c r="R16" s="85">
        <f t="shared" si="6"/>
        <v>246870</v>
      </c>
      <c r="S16" s="87">
        <f t="shared" ref="S16:S22" si="24">+Q16/$I$2</f>
        <v>50.838384615384612</v>
      </c>
      <c r="T16" s="88">
        <f t="shared" si="11"/>
        <v>71.938384615384621</v>
      </c>
      <c r="U16" s="89">
        <f t="shared" si="12"/>
        <v>350.06161538461538</v>
      </c>
      <c r="V16" s="90"/>
      <c r="Y16" s="71">
        <v>8</v>
      </c>
      <c r="Z16" s="91"/>
      <c r="AA16" s="92"/>
      <c r="AB16" s="92"/>
      <c r="AC16" s="92"/>
      <c r="AD16" s="92"/>
      <c r="AE16" s="92"/>
    </row>
    <row r="17" spans="1:31" ht="32" customHeight="1">
      <c r="A17" s="54">
        <v>14</v>
      </c>
      <c r="B17" s="79" t="s">
        <v>61</v>
      </c>
      <c r="C17" s="80"/>
      <c r="D17" s="81">
        <v>422</v>
      </c>
      <c r="E17" s="82">
        <v>0</v>
      </c>
      <c r="F17" s="82">
        <v>0</v>
      </c>
      <c r="G17" s="82">
        <v>0</v>
      </c>
      <c r="H17" s="82">
        <f t="shared" si="16"/>
        <v>0</v>
      </c>
      <c r="I17" s="82">
        <f t="shared" si="17"/>
        <v>21.1</v>
      </c>
      <c r="J17" s="82">
        <f t="shared" si="18"/>
        <v>54.86</v>
      </c>
      <c r="K17" s="83">
        <f t="shared" si="14"/>
        <v>75.960000000000008</v>
      </c>
      <c r="L17" s="83">
        <f t="shared" si="19"/>
        <v>12.66</v>
      </c>
      <c r="M17" s="83">
        <f t="shared" si="20"/>
        <v>0.84399999999999997</v>
      </c>
      <c r="N17" s="84">
        <f t="shared" si="21"/>
        <v>422</v>
      </c>
      <c r="O17" s="85">
        <f t="shared" si="22"/>
        <v>422</v>
      </c>
      <c r="P17" s="85">
        <f t="shared" si="23"/>
        <v>822900</v>
      </c>
      <c r="Q17" s="86">
        <f>IF(P17&gt;'[1]Nouveau bareme'!$C$14,(P17-'[1]Nouveau bareme'!$C$14)* '[1]Nouveau bareme'!$B$14+'[1]Nouveau bareme'!$G$13,IF(P17&gt;'[1]Nouveau bareme'!$C$13,(P17-'[1]Nouveau bareme'!$C$13)* '[1]Nouveau bareme'!$B$13+'[1]Nouveau bareme'!$G$12,IF(P17&gt;'[1]Nouveau bareme'!$C$12,(P17-'[1]Nouveau bareme'!$C$12)* '[1]Nouveau bareme'!$B$12+'[1]Nouveau bareme'!$G$11)))</f>
        <v>99134.849999999991</v>
      </c>
      <c r="R17" s="85">
        <f t="shared" si="6"/>
        <v>246870</v>
      </c>
      <c r="S17" s="87">
        <f t="shared" si="24"/>
        <v>50.838384615384612</v>
      </c>
      <c r="T17" s="88">
        <f t="shared" si="11"/>
        <v>71.938384615384621</v>
      </c>
      <c r="U17" s="89">
        <f t="shared" si="12"/>
        <v>350.06161538461538</v>
      </c>
      <c r="V17" s="90"/>
      <c r="Y17" s="71">
        <v>9</v>
      </c>
      <c r="Z17" s="78"/>
      <c r="AA17" s="74"/>
      <c r="AB17" s="74"/>
      <c r="AC17" s="74"/>
      <c r="AD17" s="74"/>
      <c r="AE17" s="74"/>
    </row>
    <row r="18" spans="1:31" ht="50" hidden="1" customHeight="1">
      <c r="A18" s="54">
        <v>15</v>
      </c>
      <c r="B18" s="79" t="s">
        <v>61</v>
      </c>
      <c r="C18" s="80"/>
      <c r="D18" s="81">
        <v>422</v>
      </c>
      <c r="E18" s="82">
        <v>0</v>
      </c>
      <c r="F18" s="82">
        <v>0</v>
      </c>
      <c r="G18" s="82">
        <v>0</v>
      </c>
      <c r="H18" s="82">
        <f t="shared" si="16"/>
        <v>0</v>
      </c>
      <c r="I18" s="82">
        <f t="shared" si="17"/>
        <v>21.1</v>
      </c>
      <c r="J18" s="82">
        <f t="shared" si="18"/>
        <v>54.86</v>
      </c>
      <c r="K18" s="83">
        <f t="shared" si="14"/>
        <v>75.960000000000008</v>
      </c>
      <c r="L18" s="83">
        <f t="shared" si="19"/>
        <v>12.66</v>
      </c>
      <c r="M18" s="83">
        <f t="shared" si="20"/>
        <v>0.84399999999999997</v>
      </c>
      <c r="N18" s="84">
        <f t="shared" si="21"/>
        <v>422</v>
      </c>
      <c r="O18" s="85">
        <f t="shared" si="22"/>
        <v>422</v>
      </c>
      <c r="P18" s="85">
        <f t="shared" si="23"/>
        <v>822900</v>
      </c>
      <c r="Q18" s="86">
        <f>IF(P18&gt;'[1]Nouveau bareme'!$C$14,(P18-'[1]Nouveau bareme'!$C$14)* '[1]Nouveau bareme'!$B$14+'[1]Nouveau bareme'!$G$13,IF(P18&gt;'[1]Nouveau bareme'!$C$13,(P18-'[1]Nouveau bareme'!$C$13)* '[1]Nouveau bareme'!$B$13+'[1]Nouveau bareme'!$G$12,IF(P18&gt;'[1]Nouveau bareme'!$C$12,(P18-'[1]Nouveau bareme'!$C$12)* '[1]Nouveau bareme'!$B$12+'[1]Nouveau bareme'!$G$11)))</f>
        <v>99134.849999999991</v>
      </c>
      <c r="R18" s="85">
        <f t="shared" si="6"/>
        <v>246870</v>
      </c>
      <c r="S18" s="87">
        <f t="shared" si="24"/>
        <v>50.838384615384612</v>
      </c>
      <c r="T18" s="88">
        <f t="shared" si="11"/>
        <v>71.938384615384621</v>
      </c>
      <c r="U18" s="89">
        <f t="shared" si="12"/>
        <v>350.06161538461538</v>
      </c>
      <c r="V18" s="90"/>
      <c r="Y18" s="71">
        <v>10</v>
      </c>
      <c r="Z18" s="78"/>
      <c r="AA18" s="74"/>
      <c r="AB18" s="93"/>
      <c r="AC18" s="93"/>
      <c r="AD18" s="93"/>
      <c r="AE18" s="93"/>
    </row>
    <row r="19" spans="1:31" ht="34.25" customHeight="1">
      <c r="A19" s="54">
        <v>16</v>
      </c>
      <c r="B19" s="79" t="s">
        <v>61</v>
      </c>
      <c r="C19" s="80"/>
      <c r="D19" s="81">
        <v>422</v>
      </c>
      <c r="E19" s="82">
        <v>0</v>
      </c>
      <c r="F19" s="82">
        <v>0</v>
      </c>
      <c r="G19" s="82">
        <v>0</v>
      </c>
      <c r="H19" s="82">
        <f t="shared" si="16"/>
        <v>0</v>
      </c>
      <c r="I19" s="82">
        <f t="shared" si="17"/>
        <v>21.1</v>
      </c>
      <c r="J19" s="82">
        <f t="shared" si="18"/>
        <v>54.86</v>
      </c>
      <c r="K19" s="83">
        <f t="shared" si="14"/>
        <v>75.960000000000008</v>
      </c>
      <c r="L19" s="83">
        <f t="shared" si="19"/>
        <v>12.66</v>
      </c>
      <c r="M19" s="83">
        <f t="shared" si="20"/>
        <v>0.84399999999999997</v>
      </c>
      <c r="N19" s="84">
        <f t="shared" si="21"/>
        <v>422</v>
      </c>
      <c r="O19" s="85">
        <f t="shared" si="22"/>
        <v>422</v>
      </c>
      <c r="P19" s="85">
        <f t="shared" si="23"/>
        <v>822900</v>
      </c>
      <c r="Q19" s="86">
        <f>IF(P19&gt;'[1]Nouveau bareme'!$C$14,(P19-'[1]Nouveau bareme'!$C$14)* '[1]Nouveau bareme'!$B$14+'[1]Nouveau bareme'!$G$13,IF(P19&gt;'[1]Nouveau bareme'!$C$13,(P19-'[1]Nouveau bareme'!$C$13)* '[1]Nouveau bareme'!$B$13+'[1]Nouveau bareme'!$G$12,IF(P19&gt;'[1]Nouveau bareme'!$C$12,(P19-'[1]Nouveau bareme'!$C$12)* '[1]Nouveau bareme'!$B$12+'[1]Nouveau bareme'!$G$11)))</f>
        <v>99134.849999999991</v>
      </c>
      <c r="R19" s="85">
        <f t="shared" si="6"/>
        <v>246870</v>
      </c>
      <c r="S19" s="87">
        <f t="shared" si="24"/>
        <v>50.838384615384612</v>
      </c>
      <c r="T19" s="88">
        <f t="shared" si="11"/>
        <v>71.938384615384621</v>
      </c>
      <c r="U19" s="89">
        <f t="shared" si="12"/>
        <v>350.06161538461538</v>
      </c>
      <c r="V19" s="90"/>
      <c r="Z19" s="94"/>
      <c r="AA19" s="93"/>
      <c r="AB19" s="93"/>
      <c r="AC19" s="93"/>
      <c r="AD19" s="93"/>
      <c r="AE19" s="93"/>
    </row>
    <row r="20" spans="1:31" s="98" customFormat="1" ht="41" customHeight="1">
      <c r="A20" s="95">
        <v>17</v>
      </c>
      <c r="B20" s="79" t="s">
        <v>62</v>
      </c>
      <c r="C20" s="96"/>
      <c r="D20" s="81">
        <v>422</v>
      </c>
      <c r="E20" s="82">
        <v>0</v>
      </c>
      <c r="F20" s="82">
        <v>0</v>
      </c>
      <c r="G20" s="82">
        <v>0</v>
      </c>
      <c r="H20" s="82">
        <f t="shared" si="16"/>
        <v>0</v>
      </c>
      <c r="I20" s="82">
        <f t="shared" si="17"/>
        <v>21.1</v>
      </c>
      <c r="J20" s="82">
        <f t="shared" si="18"/>
        <v>54.86</v>
      </c>
      <c r="K20" s="83">
        <f t="shared" si="14"/>
        <v>75.960000000000008</v>
      </c>
      <c r="L20" s="83">
        <f t="shared" si="19"/>
        <v>12.66</v>
      </c>
      <c r="M20" s="83">
        <f t="shared" si="20"/>
        <v>0.84399999999999997</v>
      </c>
      <c r="N20" s="84">
        <f t="shared" si="21"/>
        <v>422</v>
      </c>
      <c r="O20" s="85">
        <f t="shared" si="22"/>
        <v>422</v>
      </c>
      <c r="P20" s="85">
        <f t="shared" si="23"/>
        <v>822900</v>
      </c>
      <c r="Q20" s="86">
        <f>IF(P20&gt;'[1]Nouveau bareme'!$C$14,(P20-'[1]Nouveau bareme'!$C$14)* '[1]Nouveau bareme'!$B$14+'[1]Nouveau bareme'!$G$13,IF(P20&gt;'[1]Nouveau bareme'!$C$13,(P20-'[1]Nouveau bareme'!$C$13)* '[1]Nouveau bareme'!$B$13+'[1]Nouveau bareme'!$G$12,IF(P20&gt;'[1]Nouveau bareme'!$C$12,(P20-'[1]Nouveau bareme'!$C$12)* '[1]Nouveau bareme'!$B$12+'[1]Nouveau bareme'!$G$11)))</f>
        <v>99134.849999999991</v>
      </c>
      <c r="R20" s="85">
        <f t="shared" si="6"/>
        <v>246870</v>
      </c>
      <c r="S20" s="87">
        <f t="shared" si="24"/>
        <v>50.838384615384612</v>
      </c>
      <c r="T20" s="88">
        <f t="shared" si="11"/>
        <v>71.938384615384621</v>
      </c>
      <c r="U20" s="89">
        <f t="shared" si="12"/>
        <v>350.06161538461538</v>
      </c>
      <c r="V20" s="97"/>
      <c r="Z20" s="94"/>
      <c r="AA20" s="93"/>
      <c r="AB20" s="93"/>
      <c r="AC20" s="93"/>
      <c r="AD20" s="93"/>
      <c r="AE20" s="93"/>
    </row>
    <row r="21" spans="1:31" s="98" customFormat="1" ht="38.75" customHeight="1">
      <c r="A21" s="95">
        <v>18</v>
      </c>
      <c r="B21" s="79" t="s">
        <v>63</v>
      </c>
      <c r="C21" s="99"/>
      <c r="D21" s="81">
        <v>422</v>
      </c>
      <c r="E21" s="82">
        <v>0</v>
      </c>
      <c r="F21" s="82">
        <v>0</v>
      </c>
      <c r="G21" s="82">
        <v>0</v>
      </c>
      <c r="H21" s="82">
        <f t="shared" si="16"/>
        <v>0</v>
      </c>
      <c r="I21" s="82">
        <f t="shared" si="17"/>
        <v>21.1</v>
      </c>
      <c r="J21" s="82">
        <f t="shared" si="18"/>
        <v>54.86</v>
      </c>
      <c r="K21" s="83">
        <f t="shared" si="14"/>
        <v>75.960000000000008</v>
      </c>
      <c r="L21" s="83">
        <f t="shared" si="19"/>
        <v>12.66</v>
      </c>
      <c r="M21" s="83">
        <f t="shared" si="20"/>
        <v>0.84399999999999997</v>
      </c>
      <c r="N21" s="84">
        <f t="shared" si="21"/>
        <v>422</v>
      </c>
      <c r="O21" s="85">
        <f t="shared" si="22"/>
        <v>422</v>
      </c>
      <c r="P21" s="85">
        <f t="shared" si="23"/>
        <v>822900</v>
      </c>
      <c r="Q21" s="86">
        <f>IF(P21&gt;'[1]Nouveau bareme'!$C$14,(P21-'[1]Nouveau bareme'!$C$14)* '[1]Nouveau bareme'!$B$14+'[1]Nouveau bareme'!$G$13,IF(P21&gt;'[1]Nouveau bareme'!$C$13,(P21-'[1]Nouveau bareme'!$C$13)* '[1]Nouveau bareme'!$B$13+'[1]Nouveau bareme'!$G$12,IF(P21&gt;'[1]Nouveau bareme'!$C$12,(P21-'[1]Nouveau bareme'!$C$12)* '[1]Nouveau bareme'!$B$12+'[1]Nouveau bareme'!$G$11)))</f>
        <v>99134.849999999991</v>
      </c>
      <c r="R21" s="85">
        <f t="shared" si="6"/>
        <v>246870</v>
      </c>
      <c r="S21" s="87">
        <f t="shared" si="24"/>
        <v>50.838384615384612</v>
      </c>
      <c r="T21" s="88">
        <f t="shared" si="11"/>
        <v>71.938384615384621</v>
      </c>
      <c r="U21" s="89">
        <f t="shared" si="12"/>
        <v>350.06161538461538</v>
      </c>
      <c r="V21" s="97"/>
      <c r="Z21" s="94"/>
      <c r="AA21" s="93"/>
      <c r="AB21" s="93"/>
      <c r="AC21" s="93"/>
      <c r="AD21" s="93"/>
      <c r="AE21" s="93"/>
    </row>
    <row r="22" spans="1:31" s="98" customFormat="1" ht="53.75" customHeight="1">
      <c r="A22" s="95">
        <v>19</v>
      </c>
      <c r="B22" s="79" t="s">
        <v>63</v>
      </c>
      <c r="C22" s="99"/>
      <c r="D22" s="81">
        <v>422</v>
      </c>
      <c r="E22" s="82">
        <v>0</v>
      </c>
      <c r="F22" s="82">
        <v>0</v>
      </c>
      <c r="G22" s="82">
        <v>0</v>
      </c>
      <c r="H22" s="82">
        <f t="shared" si="16"/>
        <v>0</v>
      </c>
      <c r="I22" s="82">
        <f t="shared" si="17"/>
        <v>21.1</v>
      </c>
      <c r="J22" s="82">
        <f t="shared" si="18"/>
        <v>54.86</v>
      </c>
      <c r="K22" s="83">
        <f t="shared" si="14"/>
        <v>75.960000000000008</v>
      </c>
      <c r="L22" s="83">
        <f t="shared" si="19"/>
        <v>12.66</v>
      </c>
      <c r="M22" s="83">
        <f t="shared" si="20"/>
        <v>0.84399999999999997</v>
      </c>
      <c r="N22" s="84">
        <f t="shared" si="21"/>
        <v>422</v>
      </c>
      <c r="O22" s="85">
        <f t="shared" si="22"/>
        <v>422</v>
      </c>
      <c r="P22" s="85">
        <f t="shared" si="23"/>
        <v>822900</v>
      </c>
      <c r="Q22" s="86">
        <f>IF(P22&gt;'[1]Nouveau bareme'!$C$14,(P22-'[1]Nouveau bareme'!$C$14)* '[1]Nouveau bareme'!$B$14+'[1]Nouveau bareme'!$G$13,IF(P22&gt;'[1]Nouveau bareme'!$C$13,(P22-'[1]Nouveau bareme'!$C$13)* '[1]Nouveau bareme'!$B$13+'[1]Nouveau bareme'!$G$12,IF(P22&gt;'[1]Nouveau bareme'!$C$12,(P22-'[1]Nouveau bareme'!$C$12)* '[1]Nouveau bareme'!$B$12+'[1]Nouveau bareme'!$G$11)))</f>
        <v>99134.849999999991</v>
      </c>
      <c r="R22" s="85">
        <f t="shared" si="6"/>
        <v>246870</v>
      </c>
      <c r="S22" s="87">
        <f t="shared" si="24"/>
        <v>50.838384615384612</v>
      </c>
      <c r="T22" s="88">
        <f t="shared" si="11"/>
        <v>71.938384615384621</v>
      </c>
      <c r="U22" s="89">
        <f t="shared" si="12"/>
        <v>350.06161538461538</v>
      </c>
      <c r="V22" s="97"/>
      <c r="Z22" s="94"/>
      <c r="AA22" s="93"/>
      <c r="AB22" s="93"/>
      <c r="AC22" s="93"/>
      <c r="AD22" s="93"/>
      <c r="AE22" s="93"/>
    </row>
    <row r="23" spans="1:31">
      <c r="A23" s="100"/>
      <c r="B23" s="101"/>
      <c r="C23" s="102"/>
      <c r="D23" s="103"/>
      <c r="E23" s="104"/>
      <c r="F23" s="104"/>
      <c r="G23" s="104"/>
      <c r="H23" s="104"/>
      <c r="I23" s="104"/>
      <c r="J23" s="104"/>
      <c r="K23" s="105"/>
      <c r="L23" s="105"/>
      <c r="M23" s="105"/>
      <c r="N23" s="106"/>
      <c r="O23" s="107"/>
      <c r="P23" s="107"/>
      <c r="Q23" s="108"/>
      <c r="R23" s="107"/>
      <c r="S23" s="109"/>
      <c r="T23" s="110"/>
      <c r="U23" s="111"/>
      <c r="V23" s="90"/>
      <c r="Z23" s="94"/>
      <c r="AA23" s="93"/>
      <c r="AB23" s="93"/>
      <c r="AC23" s="93"/>
      <c r="AD23" s="93"/>
      <c r="AE23" s="93"/>
    </row>
    <row r="24" spans="1:31" ht="28.75" customHeight="1">
      <c r="A24" s="201" t="s">
        <v>59</v>
      </c>
      <c r="B24" s="202"/>
      <c r="C24" s="75"/>
      <c r="D24" s="76">
        <f>SUM(D16:D22)</f>
        <v>2954</v>
      </c>
      <c r="E24" s="76">
        <f>SUM(E16:E22)</f>
        <v>0</v>
      </c>
      <c r="F24" s="76">
        <f t="shared" ref="F24:T24" si="25">SUM(F16:F19)</f>
        <v>0</v>
      </c>
      <c r="G24" s="76">
        <f t="shared" si="25"/>
        <v>0</v>
      </c>
      <c r="H24" s="76">
        <f t="shared" si="25"/>
        <v>0</v>
      </c>
      <c r="I24" s="76">
        <f t="shared" si="25"/>
        <v>84.4</v>
      </c>
      <c r="J24" s="76">
        <f>SUM(J16:J19)</f>
        <v>219.44</v>
      </c>
      <c r="K24" s="76">
        <f t="shared" si="25"/>
        <v>303.84000000000003</v>
      </c>
      <c r="L24" s="76">
        <f t="shared" si="25"/>
        <v>50.64</v>
      </c>
      <c r="M24" s="76">
        <f t="shared" si="25"/>
        <v>3.3759999999999999</v>
      </c>
      <c r="N24" s="76">
        <f t="shared" si="25"/>
        <v>1688</v>
      </c>
      <c r="O24" s="76">
        <f t="shared" si="25"/>
        <v>1688</v>
      </c>
      <c r="P24" s="76">
        <f t="shared" si="25"/>
        <v>3291600</v>
      </c>
      <c r="Q24" s="77">
        <f t="shared" si="25"/>
        <v>396539.39999999997</v>
      </c>
      <c r="R24" s="76">
        <f t="shared" si="25"/>
        <v>987480</v>
      </c>
      <c r="S24" s="76">
        <f t="shared" si="25"/>
        <v>203.35353846153845</v>
      </c>
      <c r="T24" s="76">
        <f t="shared" si="25"/>
        <v>287.75353846153848</v>
      </c>
      <c r="U24" s="76">
        <f>SUM(U16:U19)</f>
        <v>1400.2464615384615</v>
      </c>
      <c r="Y24" s="71">
        <v>6</v>
      </c>
      <c r="Z24" s="78"/>
      <c r="AA24" s="74"/>
      <c r="AB24" s="74"/>
      <c r="AC24" s="74"/>
      <c r="AD24" s="74"/>
      <c r="AE24" s="74"/>
    </row>
    <row r="25" spans="1:31" ht="47.75" customHeight="1" thickBot="1">
      <c r="A25" s="206" t="s">
        <v>64</v>
      </c>
      <c r="B25" s="207"/>
      <c r="C25" s="112"/>
      <c r="D25" s="113">
        <f>+D14+D24</f>
        <v>14092</v>
      </c>
      <c r="E25" s="113">
        <f t="shared" ref="E25:U25" si="26">+E14+E24</f>
        <v>3341.4000000000005</v>
      </c>
      <c r="F25" s="113">
        <f t="shared" si="26"/>
        <v>311.2</v>
      </c>
      <c r="G25" s="113">
        <f t="shared" si="26"/>
        <v>445.52</v>
      </c>
      <c r="H25" s="113">
        <f t="shared" si="26"/>
        <v>4098.12</v>
      </c>
      <c r="I25" s="113">
        <f t="shared" si="26"/>
        <v>663.57600000000025</v>
      </c>
      <c r="J25" s="113">
        <f t="shared" si="26"/>
        <v>1725.2976000000006</v>
      </c>
      <c r="K25" s="113">
        <f t="shared" si="26"/>
        <v>2388.8735999999999</v>
      </c>
      <c r="L25" s="113">
        <f t="shared" si="26"/>
        <v>398.1456</v>
      </c>
      <c r="M25" s="113">
        <f>+M14+M24</f>
        <v>26.543040000000005</v>
      </c>
      <c r="N25" s="113">
        <f t="shared" si="26"/>
        <v>16924.12</v>
      </c>
      <c r="O25" s="113">
        <f t="shared" si="26"/>
        <v>13271.52</v>
      </c>
      <c r="P25" s="113">
        <f t="shared" si="26"/>
        <v>25879464</v>
      </c>
      <c r="Q25" s="114">
        <f t="shared" si="26"/>
        <v>5384214.8999999985</v>
      </c>
      <c r="R25" s="113">
        <f t="shared" si="26"/>
        <v>7763839.2000000011</v>
      </c>
      <c r="S25" s="113">
        <f>+S14+S24</f>
        <v>2761.1358461538457</v>
      </c>
      <c r="T25" s="113">
        <f t="shared" si="26"/>
        <v>3424.7118461538466</v>
      </c>
      <c r="U25" s="113">
        <f t="shared" si="26"/>
        <v>13499.408153846152</v>
      </c>
    </row>
    <row r="26" spans="1:31">
      <c r="A26" s="115"/>
      <c r="B26" s="115"/>
      <c r="C26" s="116"/>
      <c r="D26" s="117"/>
      <c r="E26" s="117"/>
      <c r="F26" s="117"/>
      <c r="G26" s="117"/>
      <c r="H26" s="117"/>
      <c r="I26" s="117"/>
      <c r="J26" s="117"/>
      <c r="K26" s="117"/>
      <c r="L26" s="117"/>
      <c r="M26" s="117"/>
      <c r="N26" s="117"/>
      <c r="O26" s="117"/>
      <c r="P26" s="117"/>
      <c r="Q26" s="115"/>
      <c r="R26" s="117"/>
      <c r="S26" s="117"/>
      <c r="T26" s="117"/>
      <c r="U26" s="117"/>
    </row>
    <row r="28" spans="1:31" s="118" customFormat="1" ht="26">
      <c r="B28" s="192" t="s">
        <v>65</v>
      </c>
      <c r="C28" s="193"/>
      <c r="D28" s="194"/>
      <c r="K28" s="119"/>
      <c r="L28" s="119"/>
      <c r="M28" s="119"/>
      <c r="N28" s="119"/>
      <c r="S28" s="119"/>
      <c r="U28" s="119"/>
    </row>
    <row r="29" spans="1:31" s="118" customFormat="1" ht="26">
      <c r="B29" s="120" t="s">
        <v>66</v>
      </c>
      <c r="C29" s="120" t="s">
        <v>67</v>
      </c>
      <c r="D29" s="120" t="s">
        <v>68</v>
      </c>
      <c r="K29" s="119"/>
      <c r="L29" s="119"/>
      <c r="M29" s="119"/>
      <c r="N29" s="119"/>
      <c r="S29" s="119"/>
      <c r="U29" s="119"/>
      <c r="V29" s="121"/>
    </row>
    <row r="30" spans="1:31" s="118" customFormat="1" ht="26">
      <c r="B30" s="122" t="s">
        <v>69</v>
      </c>
      <c r="C30" s="123">
        <f>U14</f>
        <v>12099.161692307691</v>
      </c>
      <c r="D30" s="123">
        <f>+C30*12</f>
        <v>145189.94030769228</v>
      </c>
    </row>
    <row r="31" spans="1:31" s="118" customFormat="1" ht="26">
      <c r="B31" s="122" t="s">
        <v>70</v>
      </c>
      <c r="C31" s="123">
        <f>+S14</f>
        <v>2557.7823076923073</v>
      </c>
      <c r="D31" s="123">
        <f>+C31*12</f>
        <v>30693.38769230769</v>
      </c>
    </row>
    <row r="32" spans="1:31" s="118" customFormat="1" ht="26">
      <c r="B32" s="122" t="s">
        <v>71</v>
      </c>
      <c r="C32" s="123">
        <f>+K14</f>
        <v>2085.0335999999998</v>
      </c>
      <c r="D32" s="123">
        <f>+C32*12</f>
        <v>25020.403199999997</v>
      </c>
    </row>
    <row r="33" spans="2:21" s="118" customFormat="1" ht="26">
      <c r="B33" s="122" t="s">
        <v>72</v>
      </c>
      <c r="C33" s="123">
        <f>+L14</f>
        <v>347.50560000000002</v>
      </c>
      <c r="D33" s="123">
        <f>+C33*12</f>
        <v>4170.0672000000004</v>
      </c>
    </row>
    <row r="34" spans="2:21" s="118" customFormat="1" ht="26">
      <c r="B34" s="122" t="s">
        <v>73</v>
      </c>
      <c r="C34" s="123">
        <f>+M14</f>
        <v>23.167040000000004</v>
      </c>
      <c r="D34" s="123">
        <f>+C34*12</f>
        <v>278.00448000000006</v>
      </c>
    </row>
    <row r="35" spans="2:21" s="126" customFormat="1" ht="26">
      <c r="B35" s="124" t="s">
        <v>74</v>
      </c>
      <c r="C35" s="125">
        <f>SUM(C30:C34)</f>
        <v>17112.650239999999</v>
      </c>
      <c r="D35" s="125">
        <f>SUM(D30:D34)</f>
        <v>205351.80287999997</v>
      </c>
      <c r="P35" s="127"/>
    </row>
    <row r="36" spans="2:21" s="118" customFormat="1" ht="26">
      <c r="B36" s="120" t="s">
        <v>75</v>
      </c>
      <c r="C36" s="128">
        <f>+U24</f>
        <v>1400.2464615384615</v>
      </c>
      <c r="D36" s="128">
        <f>+C36*4</f>
        <v>5600.9858461538461</v>
      </c>
      <c r="K36" s="119"/>
      <c r="L36" s="119"/>
      <c r="M36" s="119"/>
      <c r="N36" s="119"/>
      <c r="S36" s="119"/>
      <c r="U36" s="119"/>
    </row>
    <row r="37" spans="2:21" s="118" customFormat="1" ht="26">
      <c r="B37" s="120" t="s">
        <v>76</v>
      </c>
      <c r="C37" s="128">
        <f>+S24</f>
        <v>203.35353846153845</v>
      </c>
      <c r="D37" s="128">
        <f>+C37*4</f>
        <v>813.41415384615379</v>
      </c>
      <c r="K37" s="119"/>
      <c r="L37" s="119"/>
      <c r="M37" s="119"/>
      <c r="N37" s="119"/>
      <c r="S37" s="119"/>
      <c r="U37" s="119"/>
    </row>
    <row r="38" spans="2:21" s="118" customFormat="1" ht="26">
      <c r="B38" s="120" t="s">
        <v>77</v>
      </c>
      <c r="C38" s="128">
        <f>+K24</f>
        <v>303.84000000000003</v>
      </c>
      <c r="D38" s="128">
        <f>+C38*4</f>
        <v>1215.3600000000001</v>
      </c>
      <c r="K38" s="119"/>
      <c r="L38" s="119"/>
      <c r="M38" s="119"/>
      <c r="N38" s="119"/>
      <c r="S38" s="119"/>
      <c r="U38" s="119"/>
    </row>
    <row r="39" spans="2:21" s="118" customFormat="1" ht="26">
      <c r="B39" s="120" t="s">
        <v>78</v>
      </c>
      <c r="C39" s="128">
        <f>+L24</f>
        <v>50.64</v>
      </c>
      <c r="D39" s="128">
        <f>+C39*4</f>
        <v>202.56</v>
      </c>
      <c r="K39" s="119"/>
      <c r="L39" s="119"/>
      <c r="M39" s="119"/>
      <c r="N39" s="119"/>
      <c r="S39" s="119"/>
      <c r="U39" s="119"/>
    </row>
    <row r="40" spans="2:21" s="118" customFormat="1" ht="26">
      <c r="B40" s="129" t="s">
        <v>79</v>
      </c>
      <c r="C40" s="130">
        <f>+M24</f>
        <v>3.3759999999999999</v>
      </c>
      <c r="D40" s="128">
        <f>+C40*4</f>
        <v>13.504</v>
      </c>
      <c r="K40" s="119"/>
      <c r="L40" s="119"/>
      <c r="M40" s="119"/>
      <c r="N40" s="119"/>
      <c r="S40" s="119"/>
      <c r="U40" s="119"/>
    </row>
    <row r="41" spans="2:21" s="126" customFormat="1" ht="26.75" thickBot="1">
      <c r="B41" s="131" t="s">
        <v>74</v>
      </c>
      <c r="C41" s="132">
        <f>SUM(C36:C40)</f>
        <v>1961.4560000000001</v>
      </c>
      <c r="D41" s="133">
        <f>SUM(D36:D40)</f>
        <v>7845.8240000000005</v>
      </c>
      <c r="P41" s="127"/>
    </row>
    <row r="42" spans="2:21" s="118" customFormat="1" ht="27.5" thickTop="1" thickBot="1">
      <c r="B42" s="134" t="s">
        <v>80</v>
      </c>
      <c r="C42" s="135">
        <f>+C35+C41</f>
        <v>19074.106240000001</v>
      </c>
      <c r="D42" s="135">
        <f>+D35+D41</f>
        <v>213197.62687999997</v>
      </c>
      <c r="K42" s="119"/>
      <c r="L42" s="119"/>
      <c r="M42" s="119"/>
      <c r="N42" s="119"/>
      <c r="S42" s="119"/>
      <c r="U42" s="119"/>
    </row>
    <row r="43" spans="2:21" ht="15.5" thickTop="1">
      <c r="D43" s="136"/>
    </row>
  </sheetData>
  <mergeCells count="8">
    <mergeCell ref="B28:D28"/>
    <mergeCell ref="A1:U1"/>
    <mergeCell ref="A4:U4"/>
    <mergeCell ref="AA8:AB8"/>
    <mergeCell ref="A14:B14"/>
    <mergeCell ref="A15:U15"/>
    <mergeCell ref="A24:B24"/>
    <mergeCell ref="A25:B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0619E-AD3F-414C-AB17-119A2A3A407E}">
  <dimension ref="A1:H14"/>
  <sheetViews>
    <sheetView showGridLines="0" workbookViewId="0">
      <selection activeCell="B6" sqref="B6"/>
    </sheetView>
  </sheetViews>
  <sheetFormatPr defaultRowHeight="14.75"/>
  <cols>
    <col min="1" max="1" width="57.81640625" bestFit="1" customWidth="1"/>
    <col min="2" max="2" width="9.86328125" bestFit="1" customWidth="1"/>
    <col min="4" max="4" width="54.6328125" customWidth="1"/>
    <col min="5" max="5" width="8.7265625" customWidth="1"/>
    <col min="6" max="6" width="34.7265625" customWidth="1"/>
    <col min="8" max="8" width="40.453125" customWidth="1"/>
  </cols>
  <sheetData>
    <row r="1" spans="1:8">
      <c r="A1" s="208" t="s">
        <v>19</v>
      </c>
      <c r="B1" s="209"/>
      <c r="C1" s="209"/>
      <c r="D1" s="209"/>
      <c r="E1" s="209"/>
      <c r="F1" s="209"/>
      <c r="G1" s="209"/>
      <c r="H1" s="210"/>
    </row>
    <row r="2" spans="1:8">
      <c r="A2" s="30" t="s">
        <v>252</v>
      </c>
      <c r="B2" s="30"/>
      <c r="D2" s="30" t="s">
        <v>264</v>
      </c>
      <c r="E2" s="30"/>
      <c r="F2" s="30" t="s">
        <v>271</v>
      </c>
      <c r="G2" s="30"/>
      <c r="H2" s="29"/>
    </row>
    <row r="3" spans="1:8">
      <c r="A3" s="31" t="s">
        <v>253</v>
      </c>
      <c r="B3" s="33">
        <f>SUM('Income statement'!C18/'Income statement'!C6)*100</f>
        <v>0</v>
      </c>
      <c r="D3" s="36" t="s">
        <v>265</v>
      </c>
      <c r="E3" s="29" t="e">
        <f>SUM('Balance sheet '!$C$19/'Balance sheet '!$G$13)</f>
        <v>#DIV/0!</v>
      </c>
      <c r="F3" s="40" t="s">
        <v>272</v>
      </c>
      <c r="G3" s="29"/>
      <c r="H3" s="29"/>
    </row>
    <row r="4" spans="1:8">
      <c r="A4" s="29" t="s">
        <v>254</v>
      </c>
      <c r="B4" s="32"/>
      <c r="D4" s="29" t="s">
        <v>266</v>
      </c>
      <c r="F4" s="29" t="s">
        <v>273</v>
      </c>
      <c r="G4" s="29"/>
      <c r="H4" s="29"/>
    </row>
    <row r="5" spans="1:8" ht="59" customHeight="1">
      <c r="A5" s="35" t="s">
        <v>255</v>
      </c>
      <c r="B5" s="29"/>
      <c r="D5" s="37" t="s">
        <v>267</v>
      </c>
      <c r="E5" s="29"/>
      <c r="F5" s="39" t="s">
        <v>274</v>
      </c>
      <c r="G5" s="29"/>
      <c r="H5" s="29"/>
    </row>
    <row r="6" spans="1:8">
      <c r="A6" s="31" t="s">
        <v>256</v>
      </c>
      <c r="B6" s="29">
        <f>('Income statement'!$C$6-'Income statement'!$C$18)/'Income statement'!$C$6*100</f>
        <v>100</v>
      </c>
      <c r="D6" s="31" t="s">
        <v>268</v>
      </c>
      <c r="E6" s="29"/>
      <c r="F6" s="29"/>
      <c r="G6" s="29"/>
      <c r="H6" s="29"/>
    </row>
    <row r="7" spans="1:8" ht="29.5">
      <c r="A7" s="34" t="s">
        <v>257</v>
      </c>
      <c r="B7" s="34"/>
      <c r="D7" s="29"/>
      <c r="E7" s="29"/>
      <c r="F7" s="29"/>
      <c r="G7" s="29"/>
      <c r="H7" s="29"/>
    </row>
    <row r="8" spans="1:8" ht="29.5">
      <c r="A8" s="38" t="s">
        <v>258</v>
      </c>
      <c r="B8" s="29"/>
      <c r="D8" s="34" t="s">
        <v>269</v>
      </c>
      <c r="E8" s="29"/>
      <c r="F8" s="29"/>
      <c r="G8" s="29"/>
      <c r="H8" s="29"/>
    </row>
    <row r="9" spans="1:8">
      <c r="A9" s="31" t="s">
        <v>259</v>
      </c>
      <c r="B9" s="29">
        <f>SUM('Income statement'!C19/'Income statement'!C6)</f>
        <v>0</v>
      </c>
      <c r="D9" s="36" t="s">
        <v>270</v>
      </c>
      <c r="E9" s="29"/>
      <c r="F9" s="29"/>
      <c r="G9" s="29"/>
      <c r="H9" s="29"/>
    </row>
    <row r="10" spans="1:8">
      <c r="A10" s="29"/>
      <c r="B10" s="29"/>
      <c r="D10" s="29"/>
      <c r="E10" s="29"/>
      <c r="F10" s="29"/>
      <c r="G10" s="29"/>
      <c r="H10" s="29"/>
    </row>
    <row r="11" spans="1:8" ht="59">
      <c r="A11" s="34" t="s">
        <v>260</v>
      </c>
      <c r="B11" s="29"/>
      <c r="D11" s="29"/>
      <c r="E11" s="29"/>
      <c r="F11" s="29"/>
      <c r="G11" s="29"/>
      <c r="H11" s="29"/>
    </row>
    <row r="12" spans="1:8">
      <c r="A12" s="31" t="s">
        <v>261</v>
      </c>
      <c r="B12" s="29">
        <f>SUM('Income statement'!C46/'Income statement'!C6)*100</f>
        <v>0</v>
      </c>
      <c r="D12" s="29"/>
      <c r="E12" s="29"/>
      <c r="F12" s="29"/>
      <c r="G12" s="29"/>
      <c r="H12" s="29"/>
    </row>
    <row r="13" spans="1:8">
      <c r="A13" s="29" t="s">
        <v>262</v>
      </c>
      <c r="B13" s="29"/>
      <c r="D13" s="29"/>
      <c r="E13" s="29"/>
      <c r="F13" s="29"/>
      <c r="G13" s="29"/>
      <c r="H13" s="29"/>
    </row>
    <row r="14" spans="1:8" ht="44.25">
      <c r="A14" s="169" t="s">
        <v>263</v>
      </c>
      <c r="B14" s="29"/>
      <c r="D14" s="29"/>
      <c r="E14" s="29"/>
      <c r="F14" s="29"/>
      <c r="G14" s="29"/>
      <c r="H14" s="29"/>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Assumptions </vt:lpstr>
      <vt:lpstr>Tab -1 Sales forcast|revenue </vt:lpstr>
      <vt:lpstr>Tab - 3 P&amp;E|Depreciation </vt:lpstr>
      <vt:lpstr>Income statement</vt:lpstr>
      <vt:lpstr>Balance sheet </vt:lpstr>
      <vt:lpstr>Breakeven</vt:lpstr>
      <vt:lpstr>Tab 4 - Payroll cost </vt:lpstr>
      <vt:lpstr>Formulas Ratios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Sanginga, Jerry Ntale (IITA)</dc:creator>
  <cp:lastModifiedBy>Sanginga, Jerry Ntale (IITA)</cp:lastModifiedBy>
  <dcterms:created xsi:type="dcterms:W3CDTF">2024-06-01T14:07:33Z</dcterms:created>
  <dcterms:modified xsi:type="dcterms:W3CDTF">2025-08-04T13:15:19Z</dcterms:modified>
</cp:coreProperties>
</file>