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86" i="3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E86"/>
  <c r="D86"/>
  <c r="C86"/>
  <c r="B86"/>
  <c r="A86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A85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A84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A83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A82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A8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A80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A79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A78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A77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A76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A75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A74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A73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A72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A7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A70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D68"/>
  <c r="C68"/>
  <c r="B68"/>
  <c r="A68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E67"/>
  <c r="D67"/>
  <c r="C67"/>
  <c r="B67"/>
  <c r="A67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D66"/>
  <c r="C66"/>
  <c r="A66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D65"/>
  <c r="C65"/>
  <c r="B65"/>
  <c r="A65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A64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D63"/>
  <c r="C63"/>
  <c r="B63"/>
  <c r="A63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E62"/>
  <c r="D62"/>
  <c r="C62"/>
  <c r="B62"/>
  <c r="A62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D61"/>
  <c r="C61"/>
  <c r="B61"/>
  <c r="A6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D60"/>
  <c r="C60"/>
  <c r="B60"/>
  <c r="A60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D59"/>
  <c r="C59"/>
  <c r="B59"/>
  <c r="A59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D58"/>
  <c r="C58"/>
  <c r="B58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A39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38"/>
  <c r="B66" s="1"/>
  <c r="A38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A37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36"/>
  <c r="A36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C35"/>
  <c r="B35"/>
  <c r="A35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34"/>
  <c r="A34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A32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E23"/>
  <c r="E57" s="1"/>
  <c r="D23"/>
  <c r="D57" s="1"/>
  <c r="C23"/>
  <c r="C57" s="1"/>
  <c r="B23"/>
  <c r="B57" s="1"/>
  <c r="A23"/>
  <c r="A57" s="1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E56" s="1"/>
  <c r="D22"/>
  <c r="D56" s="1"/>
  <c r="C22"/>
  <c r="C56" s="1"/>
  <c r="B22"/>
  <c r="B56" s="1"/>
  <c r="A22"/>
  <c r="A56" s="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55" s="1"/>
  <c r="D21"/>
  <c r="D55" s="1"/>
  <c r="C21"/>
  <c r="C55" s="1"/>
  <c r="B21"/>
  <c r="B55" s="1"/>
  <c r="A21"/>
  <c r="A55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E20" i="2" s="1"/>
  <c r="D20" i="3"/>
  <c r="D54" s="1"/>
  <c r="C20"/>
  <c r="C54" s="1"/>
  <c r="B20"/>
  <c r="B54" s="1"/>
  <c r="A20"/>
  <c r="A54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E19" i="2" s="1"/>
  <c r="B19" i="3"/>
  <c r="A19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53" s="1"/>
  <c r="D18"/>
  <c r="D53" s="1"/>
  <c r="C18"/>
  <c r="C53" s="1"/>
  <c r="B18"/>
  <c r="B53" s="1"/>
  <c r="A18"/>
  <c r="A53" s="1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D17"/>
  <c r="D52" s="1"/>
  <c r="C17"/>
  <c r="C52" s="1"/>
  <c r="B17"/>
  <c r="A17"/>
  <c r="A52" s="1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51" s="1"/>
  <c r="D16"/>
  <c r="D51" s="1"/>
  <c r="C16"/>
  <c r="B16"/>
  <c r="B51" s="1"/>
  <c r="A16"/>
  <c r="A51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E50" s="1"/>
  <c r="D15"/>
  <c r="D50" s="1"/>
  <c r="C15"/>
  <c r="C50" s="1"/>
  <c r="B15"/>
  <c r="B50" s="1"/>
  <c r="A15"/>
  <c r="A50" s="1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14" i="2" s="1"/>
  <c r="B14" i="3"/>
  <c r="B14" i="2" s="1"/>
  <c r="A14" i="3"/>
  <c r="A14" i="2" s="1"/>
  <c r="DU13" i="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E49" s="1"/>
  <c r="D13"/>
  <c r="C13"/>
  <c r="B13"/>
  <c r="B49" s="1"/>
  <c r="A13"/>
  <c r="A49" s="1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48" s="1"/>
  <c r="D12"/>
  <c r="D48" s="1"/>
  <c r="C12"/>
  <c r="C48" s="1"/>
  <c r="B12"/>
  <c r="B48" s="1"/>
  <c r="A12"/>
  <c r="A48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47" s="1"/>
  <c r="D11"/>
  <c r="D47" s="1"/>
  <c r="C11"/>
  <c r="C47" s="1"/>
  <c r="B11"/>
  <c r="B47" s="1"/>
  <c r="A1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46" s="1"/>
  <c r="D10"/>
  <c r="D46" s="1"/>
  <c r="C10"/>
  <c r="C46" s="1"/>
  <c r="B10"/>
  <c r="B46" s="1"/>
  <c r="A10"/>
  <c r="A46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45" s="1"/>
  <c r="D9"/>
  <c r="D45" s="1"/>
  <c r="C9"/>
  <c r="C45" s="1"/>
  <c r="B9"/>
  <c r="B45" s="1"/>
  <c r="A9"/>
  <c r="A45" s="1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B8"/>
  <c r="A8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44" s="1"/>
  <c r="D7"/>
  <c r="D44" s="1"/>
  <c r="C7"/>
  <c r="C44" s="1"/>
  <c r="B7"/>
  <c r="B44" s="1"/>
  <c r="A7"/>
  <c r="A44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43" s="1"/>
  <c r="D6"/>
  <c r="D43" s="1"/>
  <c r="C6"/>
  <c r="C43" s="1"/>
  <c r="B6"/>
  <c r="B43" s="1"/>
  <c r="A6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42" s="1"/>
  <c r="D5"/>
  <c r="D42" s="1"/>
  <c r="C5"/>
  <c r="C42" s="1"/>
  <c r="B5"/>
  <c r="B42" s="1"/>
  <c r="A5"/>
  <c r="A42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D4"/>
  <c r="D41" s="1"/>
  <c r="C4"/>
  <c r="B4"/>
  <c r="B41" s="1"/>
  <c r="A4"/>
  <c r="A41" s="1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A3" i="2" s="1"/>
  <c r="E2" i="3"/>
  <c r="D2"/>
  <c r="C2"/>
  <c r="C2" i="2" s="1"/>
  <c r="B2" i="3"/>
  <c r="A2"/>
  <c r="A2" i="2" s="1"/>
  <c r="E23"/>
  <c r="A23"/>
  <c r="A22"/>
  <c r="C21"/>
  <c r="B21"/>
  <c r="A21"/>
  <c r="C20"/>
  <c r="B20"/>
  <c r="A20"/>
  <c r="D19"/>
  <c r="C19"/>
  <c r="B19"/>
  <c r="A19"/>
  <c r="C18"/>
  <c r="B18"/>
  <c r="A18"/>
  <c r="D17"/>
  <c r="C17"/>
  <c r="E16"/>
  <c r="D16"/>
  <c r="E15"/>
  <c r="D15"/>
  <c r="C15"/>
  <c r="D14"/>
  <c r="C14"/>
  <c r="E13"/>
  <c r="A13"/>
  <c r="E12"/>
  <c r="D12"/>
  <c r="C12"/>
  <c r="B12"/>
  <c r="A12"/>
  <c r="D11"/>
  <c r="C11"/>
  <c r="B11"/>
  <c r="E10"/>
  <c r="D10"/>
  <c r="C10"/>
  <c r="B10"/>
  <c r="A10"/>
  <c r="E9"/>
  <c r="B9"/>
  <c r="A9"/>
  <c r="E8"/>
  <c r="D8"/>
  <c r="C8"/>
  <c r="B8"/>
  <c r="A8"/>
  <c r="E7"/>
  <c r="C7"/>
  <c r="B7"/>
  <c r="A7"/>
  <c r="E6"/>
  <c r="D6"/>
  <c r="C6"/>
  <c r="B6"/>
  <c r="E5"/>
  <c r="C5"/>
  <c r="B5"/>
  <c r="A5"/>
  <c r="D4"/>
  <c r="B4"/>
  <c r="A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E2"/>
  <c r="D2"/>
  <c r="B2"/>
  <c r="A33" i="3"/>
  <c r="C22" i="2" l="1"/>
  <c r="E54" i="3"/>
  <c r="B13" i="2"/>
  <c r="D21"/>
  <c r="B23"/>
  <c r="B15"/>
  <c r="E22"/>
  <c r="B37" i="3"/>
  <c r="D20" i="2"/>
  <c r="A15"/>
  <c r="D22"/>
  <c r="E18"/>
  <c r="B22"/>
  <c r="A16"/>
  <c r="D18"/>
  <c r="E21"/>
  <c r="C23"/>
  <c r="B52" i="3"/>
  <c r="B17" i="2"/>
  <c r="D9"/>
  <c r="D49" i="3"/>
  <c r="D13" i="2"/>
  <c r="C51" i="3"/>
  <c r="C16" i="2"/>
  <c r="A43" i="3"/>
  <c r="A6" i="2"/>
  <c r="C49" i="3"/>
  <c r="C13" i="2"/>
  <c r="E41" i="3"/>
  <c r="E4" i="2"/>
  <c r="D7"/>
  <c r="A47" i="3"/>
  <c r="A11" i="2"/>
  <c r="C41" i="3"/>
  <c r="C4" i="2"/>
  <c r="E52" i="3"/>
  <c r="E17" i="2"/>
  <c r="C9"/>
  <c r="D23"/>
  <c r="D5"/>
  <c r="E11"/>
  <c r="B16"/>
  <c r="A17"/>
  <c r="C37" i="3"/>
  <c r="F57"/>
  <c r="F43"/>
  <c r="F47"/>
  <c r="F51"/>
  <c r="F55"/>
  <c r="C72"/>
  <c r="C80"/>
  <c r="C70"/>
  <c r="C74"/>
  <c r="C78"/>
  <c r="C82"/>
  <c r="F50"/>
  <c r="F42"/>
  <c r="F53"/>
  <c r="F52"/>
  <c r="F48"/>
  <c r="F41"/>
  <c r="F46"/>
  <c r="F56"/>
  <c r="F49"/>
  <c r="F45"/>
  <c r="F44"/>
  <c r="F54"/>
  <c r="B82" l="1"/>
  <c r="B78"/>
  <c r="B74"/>
  <c r="B70"/>
  <c r="B80"/>
  <c r="B72"/>
  <c r="AD76" l="1"/>
  <c r="AD77" s="1"/>
  <c r="BH76"/>
  <c r="BH77" s="1"/>
  <c r="DS2" s="1"/>
  <c r="O76"/>
  <c r="O77" s="1"/>
  <c r="BZ2" s="1"/>
  <c r="Q84"/>
  <c r="Q85" s="1"/>
  <c r="AZ76"/>
  <c r="AZ77" s="1"/>
  <c r="DK2" s="1"/>
  <c r="G76"/>
  <c r="G77" s="1"/>
  <c r="BI76"/>
  <c r="BI77" s="1"/>
  <c r="H76"/>
  <c r="H77" s="1"/>
  <c r="BA76"/>
  <c r="BA77" s="1"/>
  <c r="BE76"/>
  <c r="BE77" s="1"/>
  <c r="DP2" s="1"/>
  <c r="BF76"/>
  <c r="BF77" s="1"/>
  <c r="DQ2" s="1"/>
  <c r="AX76"/>
  <c r="AX77" s="1"/>
  <c r="BA2" s="1"/>
  <c r="AT76"/>
  <c r="AT77" s="1"/>
  <c r="DE2" s="1"/>
  <c r="BG76"/>
  <c r="BG77" s="1"/>
  <c r="DR2" s="1"/>
  <c r="V76"/>
  <c r="V77" s="1"/>
  <c r="AY76"/>
  <c r="AY77" s="1"/>
  <c r="N76"/>
  <c r="N77" s="1"/>
  <c r="BB84"/>
  <c r="BB85" s="1"/>
  <c r="U84"/>
  <c r="U85" s="1"/>
  <c r="S84"/>
  <c r="S85" s="1"/>
  <c r="R84"/>
  <c r="R85" s="1"/>
  <c r="AF84"/>
  <c r="AF85" s="1"/>
  <c r="AT84"/>
  <c r="AT85" s="1"/>
  <c r="M84"/>
  <c r="M85" s="1"/>
  <c r="K84"/>
  <c r="K85" s="1"/>
  <c r="J84"/>
  <c r="J85" s="1"/>
  <c r="AS76"/>
  <c r="AS77" s="1"/>
  <c r="AV2" s="1"/>
  <c r="AR76"/>
  <c r="AR77" s="1"/>
  <c r="AU2" s="1"/>
  <c r="AQ76"/>
  <c r="AQ77" s="1"/>
  <c r="AT2" s="1"/>
  <c r="AP76"/>
  <c r="AP77" s="1"/>
  <c r="AW76"/>
  <c r="AW77" s="1"/>
  <c r="DH2" s="1"/>
  <c r="BD76"/>
  <c r="BD77" s="1"/>
  <c r="F76"/>
  <c r="F77" s="1"/>
  <c r="I2" s="1"/>
  <c r="E84"/>
  <c r="E85" s="1"/>
  <c r="D84"/>
  <c r="D85" s="1"/>
  <c r="C84"/>
  <c r="C85" s="1"/>
  <c r="B84"/>
  <c r="B85" s="1"/>
  <c r="B39" s="1"/>
  <c r="I84"/>
  <c r="I85" s="1"/>
  <c r="P84"/>
  <c r="P85" s="1"/>
  <c r="W84"/>
  <c r="W85" s="1"/>
  <c r="AD84"/>
  <c r="AD85" s="1"/>
  <c r="AK76"/>
  <c r="AK77" s="1"/>
  <c r="AN2" s="1"/>
  <c r="AJ76"/>
  <c r="AJ77" s="1"/>
  <c r="CU2" s="1"/>
  <c r="AI76"/>
  <c r="AI77" s="1"/>
  <c r="CT2" s="1"/>
  <c r="AH76"/>
  <c r="AH77" s="1"/>
  <c r="CS2" s="1"/>
  <c r="AO76"/>
  <c r="AO77" s="1"/>
  <c r="AR2" s="1"/>
  <c r="AV76"/>
  <c r="AV77" s="1"/>
  <c r="DG2" s="1"/>
  <c r="BC76"/>
  <c r="BC77" s="1"/>
  <c r="BJ76"/>
  <c r="BJ77" s="1"/>
  <c r="BM2" s="1"/>
  <c r="BI84"/>
  <c r="BI85" s="1"/>
  <c r="BH84"/>
  <c r="BH85" s="1"/>
  <c r="BG84"/>
  <c r="BG85" s="1"/>
  <c r="BF84"/>
  <c r="BF85" s="1"/>
  <c r="H84"/>
  <c r="H85" s="1"/>
  <c r="O84"/>
  <c r="O85" s="1"/>
  <c r="V84"/>
  <c r="V85" s="1"/>
  <c r="AC76"/>
  <c r="AC77" s="1"/>
  <c r="AF2" s="1"/>
  <c r="AB76"/>
  <c r="AB77" s="1"/>
  <c r="CM2" s="1"/>
  <c r="AA76"/>
  <c r="AA77" s="1"/>
  <c r="AD2" s="1"/>
  <c r="Z76"/>
  <c r="Z77" s="1"/>
  <c r="CK2" s="1"/>
  <c r="AG76"/>
  <c r="AG77" s="1"/>
  <c r="CR2" s="1"/>
  <c r="AN76"/>
  <c r="AN77" s="1"/>
  <c r="CY2" s="1"/>
  <c r="AU76"/>
  <c r="AU77" s="1"/>
  <c r="BB76"/>
  <c r="BB77" s="1"/>
  <c r="BA84"/>
  <c r="BA85" s="1"/>
  <c r="AZ84"/>
  <c r="AZ85" s="1"/>
  <c r="AY84"/>
  <c r="AY85" s="1"/>
  <c r="AX84"/>
  <c r="AX85" s="1"/>
  <c r="BE84"/>
  <c r="BE85" s="1"/>
  <c r="G84"/>
  <c r="G85" s="1"/>
  <c r="N84"/>
  <c r="N85" s="1"/>
  <c r="U76"/>
  <c r="U77" s="1"/>
  <c r="X2" s="1"/>
  <c r="T76"/>
  <c r="T77" s="1"/>
  <c r="W2" s="1"/>
  <c r="S76"/>
  <c r="S77" s="1"/>
  <c r="V2" s="1"/>
  <c r="R76"/>
  <c r="R77" s="1"/>
  <c r="U2" s="1"/>
  <c r="Y76"/>
  <c r="Y77" s="1"/>
  <c r="AB2" s="1"/>
  <c r="AF76"/>
  <c r="AF77" s="1"/>
  <c r="AI2" s="1"/>
  <c r="AM76"/>
  <c r="AM77" s="1"/>
  <c r="CX2" s="1"/>
  <c r="AS84"/>
  <c r="AS85" s="1"/>
  <c r="AR84"/>
  <c r="AR85" s="1"/>
  <c r="AQ84"/>
  <c r="AQ85" s="1"/>
  <c r="AP84"/>
  <c r="AP85" s="1"/>
  <c r="AW84"/>
  <c r="AW85" s="1"/>
  <c r="BD84"/>
  <c r="BD85" s="1"/>
  <c r="F84"/>
  <c r="F85" s="1"/>
  <c r="M76"/>
  <c r="M77" s="1"/>
  <c r="P2" s="1"/>
  <c r="L76"/>
  <c r="L77" s="1"/>
  <c r="BW2" s="1"/>
  <c r="K76"/>
  <c r="K77" s="1"/>
  <c r="J76"/>
  <c r="J77" s="1"/>
  <c r="M2" s="1"/>
  <c r="Q76"/>
  <c r="Q77" s="1"/>
  <c r="T2" s="1"/>
  <c r="X76"/>
  <c r="X77" s="1"/>
  <c r="AA2" s="1"/>
  <c r="AE76"/>
  <c r="AE77" s="1"/>
  <c r="AH2" s="1"/>
  <c r="AL76"/>
  <c r="AL77" s="1"/>
  <c r="AO2" s="1"/>
  <c r="AK84"/>
  <c r="AK85" s="1"/>
  <c r="AJ84"/>
  <c r="AJ85" s="1"/>
  <c r="AI84"/>
  <c r="AI85" s="1"/>
  <c r="AH84"/>
  <c r="AH85" s="1"/>
  <c r="AO84"/>
  <c r="AO85" s="1"/>
  <c r="AV84"/>
  <c r="AV85" s="1"/>
  <c r="BC84"/>
  <c r="BC85" s="1"/>
  <c r="BJ84"/>
  <c r="BJ85" s="1"/>
  <c r="T84"/>
  <c r="T85" s="1"/>
  <c r="Y84"/>
  <c r="Y85" s="1"/>
  <c r="AM84"/>
  <c r="AM85" s="1"/>
  <c r="L84"/>
  <c r="L85" s="1"/>
  <c r="X84"/>
  <c r="X85" s="1"/>
  <c r="AE84"/>
  <c r="AE85" s="1"/>
  <c r="AL84"/>
  <c r="AL85" s="1"/>
  <c r="E76"/>
  <c r="E77" s="1"/>
  <c r="BP2" s="1"/>
  <c r="D76"/>
  <c r="D77" s="1"/>
  <c r="BO2" s="1"/>
  <c r="C76"/>
  <c r="C77" s="1"/>
  <c r="F2" s="1"/>
  <c r="B76"/>
  <c r="B77" s="1"/>
  <c r="I76"/>
  <c r="I77" s="1"/>
  <c r="BT2" s="1"/>
  <c r="P76"/>
  <c r="P77" s="1"/>
  <c r="S2" s="1"/>
  <c r="W76"/>
  <c r="W77" s="1"/>
  <c r="CH2" s="1"/>
  <c r="AC84"/>
  <c r="AC85" s="1"/>
  <c r="AB84"/>
  <c r="AB85" s="1"/>
  <c r="AA84"/>
  <c r="AA85" s="1"/>
  <c r="Z84"/>
  <c r="Z85" s="1"/>
  <c r="AG84"/>
  <c r="AG85" s="1"/>
  <c r="AN84"/>
  <c r="AN85" s="1"/>
  <c r="AU84"/>
  <c r="AU85" s="1"/>
  <c r="DD2"/>
  <c r="DA2"/>
  <c r="AS2"/>
  <c r="CZ2"/>
  <c r="DM2"/>
  <c r="BE2"/>
  <c r="CF2"/>
  <c r="CJ2"/>
  <c r="CQ2"/>
  <c r="AP2"/>
  <c r="BV2"/>
  <c r="N2"/>
  <c r="BU2"/>
  <c r="AZ2"/>
  <c r="BF2"/>
  <c r="DN2"/>
  <c r="AQ2"/>
  <c r="CE2"/>
  <c r="CO2"/>
  <c r="AG2"/>
  <c r="DT2"/>
  <c r="BL2"/>
  <c r="BJ2"/>
  <c r="BS2"/>
  <c r="K2"/>
  <c r="R2"/>
  <c r="CG2"/>
  <c r="Y2"/>
  <c r="BG2"/>
  <c r="DO2"/>
  <c r="AY2"/>
  <c r="AJ2"/>
  <c r="AX2"/>
  <c r="DF2"/>
  <c r="BN2"/>
  <c r="DL2"/>
  <c r="BD2"/>
  <c r="BC2"/>
  <c r="DJ2"/>
  <c r="BB2"/>
  <c r="BR2"/>
  <c r="J2"/>
  <c r="Q2"/>
  <c r="BY2"/>
  <c r="F19"/>
  <c r="F14"/>
  <c r="F8"/>
  <c r="BI2" l="1"/>
  <c r="BI2" i="2" s="1"/>
  <c r="AL2" i="3"/>
  <c r="AL2" i="2" s="1"/>
  <c r="DC2" i="3"/>
  <c r="DI2"/>
  <c r="CL2"/>
  <c r="AE2"/>
  <c r="DB2"/>
  <c r="AC2"/>
  <c r="BH2"/>
  <c r="BH2" i="2" s="1"/>
  <c r="CV2" i="3"/>
  <c r="AK2"/>
  <c r="AW2"/>
  <c r="AW2" i="2" s="1"/>
  <c r="BK2" i="3"/>
  <c r="BK2" i="2" s="1"/>
  <c r="G2" i="3"/>
  <c r="CI2"/>
  <c r="CD2"/>
  <c r="AM2"/>
  <c r="CB2"/>
  <c r="Z2"/>
  <c r="CW2"/>
  <c r="BX2"/>
  <c r="CC2"/>
  <c r="H2"/>
  <c r="CA2"/>
  <c r="O2"/>
  <c r="O2" i="2" s="1"/>
  <c r="DU2" i="3"/>
  <c r="CP2"/>
  <c r="CN2"/>
  <c r="BQ2"/>
  <c r="L2"/>
  <c r="L2" i="2" s="1"/>
  <c r="F8"/>
  <c r="F14"/>
  <c r="F19"/>
  <c r="BB2"/>
  <c r="G2"/>
  <c r="AU2"/>
  <c r="T2"/>
  <c r="Z2"/>
  <c r="AX2"/>
  <c r="P2"/>
  <c r="BE2"/>
  <c r="AV2"/>
  <c r="BA2"/>
  <c r="AZ2"/>
  <c r="AA2"/>
  <c r="Y2"/>
  <c r="BJ2"/>
  <c r="S2"/>
  <c r="AD2"/>
  <c r="AI2"/>
  <c r="X2"/>
  <c r="BM2"/>
  <c r="AS2"/>
  <c r="BD2"/>
  <c r="H2"/>
  <c r="AY2"/>
  <c r="R2"/>
  <c r="BF2"/>
  <c r="AR2"/>
  <c r="AG2"/>
  <c r="AN2"/>
  <c r="N2"/>
  <c r="AF2"/>
  <c r="J2"/>
  <c r="BC2"/>
  <c r="AE2"/>
  <c r="AT2"/>
  <c r="AK2"/>
  <c r="AC2"/>
  <c r="AM2"/>
  <c r="AB2"/>
  <c r="F2"/>
  <c r="AQ2"/>
  <c r="AH2"/>
  <c r="AP2"/>
  <c r="V2"/>
  <c r="I2"/>
  <c r="Q2"/>
  <c r="AJ2"/>
  <c r="BG2"/>
  <c r="K2"/>
  <c r="BL2"/>
  <c r="W2"/>
  <c r="AO2"/>
  <c r="M2"/>
  <c r="U2"/>
  <c r="H8" i="3"/>
  <c r="H14"/>
  <c r="H19"/>
  <c r="G8"/>
  <c r="G19"/>
  <c r="G14"/>
  <c r="O8"/>
  <c r="O19"/>
  <c r="O14"/>
  <c r="L19"/>
  <c r="L14"/>
  <c r="L8"/>
  <c r="BB8"/>
  <c r="BB14"/>
  <c r="BB19"/>
  <c r="AU8"/>
  <c r="AU19"/>
  <c r="AU14"/>
  <c r="T19"/>
  <c r="T8"/>
  <c r="T14"/>
  <c r="Z14"/>
  <c r="Z8"/>
  <c r="Z19"/>
  <c r="AX14"/>
  <c r="AX8"/>
  <c r="AX19"/>
  <c r="AL8"/>
  <c r="AL14"/>
  <c r="AL19"/>
  <c r="BK8"/>
  <c r="BK19"/>
  <c r="BK14"/>
  <c r="P14"/>
  <c r="P19"/>
  <c r="P8"/>
  <c r="BE19"/>
  <c r="BE14"/>
  <c r="BE8"/>
  <c r="AV8"/>
  <c r="AV19"/>
  <c r="AV14"/>
  <c r="BA19"/>
  <c r="BA14"/>
  <c r="BA8"/>
  <c r="AZ19"/>
  <c r="AZ14"/>
  <c r="AZ8"/>
  <c r="AA19"/>
  <c r="AA14"/>
  <c r="AA8"/>
  <c r="BH19"/>
  <c r="BH8"/>
  <c r="BH14"/>
  <c r="Y14"/>
  <c r="Y8"/>
  <c r="Y19"/>
  <c r="BJ8"/>
  <c r="BJ19"/>
  <c r="BJ14"/>
  <c r="S19"/>
  <c r="S14"/>
  <c r="S8"/>
  <c r="AD8"/>
  <c r="AD14"/>
  <c r="AD19"/>
  <c r="AI19"/>
  <c r="AI14"/>
  <c r="AI8"/>
  <c r="X14"/>
  <c r="X8"/>
  <c r="X19"/>
  <c r="BM19"/>
  <c r="BM14"/>
  <c r="BM8"/>
  <c r="AS8"/>
  <c r="AS19"/>
  <c r="AS14"/>
  <c r="BD19"/>
  <c r="BD14"/>
  <c r="BD8"/>
  <c r="AY19"/>
  <c r="AY14"/>
  <c r="AY8"/>
  <c r="BI19"/>
  <c r="BI8"/>
  <c r="BI14"/>
  <c r="R14"/>
  <c r="R8"/>
  <c r="R19"/>
  <c r="BF14"/>
  <c r="BF8"/>
  <c r="BF19"/>
  <c r="AR19"/>
  <c r="AR14"/>
  <c r="AR8"/>
  <c r="AG8"/>
  <c r="AG14"/>
  <c r="AG19"/>
  <c r="AN19"/>
  <c r="AN14"/>
  <c r="AN8"/>
  <c r="N8"/>
  <c r="N14"/>
  <c r="N19"/>
  <c r="AF19"/>
  <c r="AF14"/>
  <c r="AF8"/>
  <c r="J14"/>
  <c r="J8"/>
  <c r="J19"/>
  <c r="BC8"/>
  <c r="BC19"/>
  <c r="BC14"/>
  <c r="AE8"/>
  <c r="AE19"/>
  <c r="AE14"/>
  <c r="AT8"/>
  <c r="AT14"/>
  <c r="AT19"/>
  <c r="AK14"/>
  <c r="AK8"/>
  <c r="AK19"/>
  <c r="AW14"/>
  <c r="AW8"/>
  <c r="AW19"/>
  <c r="AC19"/>
  <c r="AC14"/>
  <c r="AC8"/>
  <c r="AM8"/>
  <c r="AM19"/>
  <c r="AM14"/>
  <c r="AB19"/>
  <c r="AB14"/>
  <c r="AB8"/>
  <c r="AQ19"/>
  <c r="AQ14"/>
  <c r="AQ8"/>
  <c r="AH14"/>
  <c r="AH8"/>
  <c r="AH19"/>
  <c r="AP14"/>
  <c r="AP8"/>
  <c r="AP19"/>
  <c r="V8"/>
  <c r="V14"/>
  <c r="V19"/>
  <c r="I8"/>
  <c r="I19"/>
  <c r="I14"/>
  <c r="Q19"/>
  <c r="Q8"/>
  <c r="Q14"/>
  <c r="AJ19"/>
  <c r="AJ8"/>
  <c r="AJ14"/>
  <c r="BG19"/>
  <c r="BG14"/>
  <c r="BG8"/>
  <c r="K19"/>
  <c r="K14"/>
  <c r="K8"/>
  <c r="BL14"/>
  <c r="BL19"/>
  <c r="BL8"/>
  <c r="W8"/>
  <c r="W19"/>
  <c r="W14"/>
  <c r="AO19"/>
  <c r="AO14"/>
  <c r="AO8"/>
  <c r="M14"/>
  <c r="M8"/>
  <c r="M19"/>
  <c r="U8"/>
  <c r="U14"/>
  <c r="U19"/>
  <c r="BK23"/>
  <c r="BH22"/>
  <c r="BE21"/>
  <c r="BB20"/>
  <c r="AT18"/>
  <c r="AI17"/>
  <c r="AF16"/>
  <c r="AC15"/>
  <c r="U13"/>
  <c r="J12"/>
  <c r="G11"/>
  <c r="BM9"/>
  <c r="BM7"/>
  <c r="BJ6"/>
  <c r="AY5"/>
  <c r="AV4"/>
  <c r="AV23"/>
  <c r="AS22"/>
  <c r="AH21"/>
  <c r="AE20"/>
  <c r="AE18"/>
  <c r="AB17"/>
  <c r="Y16"/>
  <c r="V15"/>
  <c r="N13"/>
  <c r="BL11"/>
  <c r="BI10"/>
  <c r="AX9"/>
  <c r="AP7"/>
  <c r="Y23"/>
  <c r="V22"/>
  <c r="K21"/>
  <c r="H20"/>
  <c r="BK22"/>
  <c r="BH21"/>
  <c r="BE20"/>
  <c r="AY23"/>
  <c r="AV22"/>
  <c r="AS21"/>
  <c r="AH20"/>
  <c r="Z18"/>
  <c r="W17"/>
  <c r="T16"/>
  <c r="Q15"/>
  <c r="Q13"/>
  <c r="N12"/>
  <c r="BL10"/>
  <c r="BI9"/>
  <c r="BA7"/>
  <c r="AP6"/>
  <c r="AM5"/>
  <c r="AJ4"/>
  <c r="AC23"/>
  <c r="R22"/>
  <c r="O21"/>
  <c r="L20"/>
  <c r="BG22"/>
  <c r="BD21"/>
  <c r="BA20"/>
  <c r="V21"/>
  <c r="AS17"/>
  <c r="AY15"/>
  <c r="BC12"/>
  <c r="M11"/>
  <c r="AI9"/>
  <c r="BD6"/>
  <c r="AF5"/>
  <c r="G4"/>
  <c r="W13"/>
  <c r="BD7"/>
  <c r="AG4"/>
  <c r="X18"/>
  <c r="AQ16"/>
  <c r="AR13"/>
  <c r="BA11"/>
  <c r="K10"/>
  <c r="AB7"/>
  <c r="BB5"/>
  <c r="AD4"/>
  <c r="AA18"/>
  <c r="BB10"/>
  <c r="BL18"/>
  <c r="V17"/>
  <c r="AB15"/>
  <c r="AS12"/>
  <c r="BM10"/>
  <c r="X9"/>
  <c r="AV6"/>
  <c r="M5"/>
  <c r="M18"/>
  <c r="AU12"/>
  <c r="AW6"/>
  <c r="AZ23"/>
  <c r="BA17"/>
  <c r="K16"/>
  <c r="AM13"/>
  <c r="BH11"/>
  <c r="R10"/>
  <c r="V7"/>
  <c r="BH5"/>
  <c r="Y4"/>
  <c r="S18"/>
  <c r="Z16"/>
  <c r="AX17"/>
  <c r="AS11"/>
  <c r="AF6"/>
  <c r="N16"/>
  <c r="AT10"/>
  <c r="AO5"/>
  <c r="V16"/>
  <c r="AU10"/>
  <c r="K6"/>
  <c r="AR15"/>
  <c r="S10"/>
  <c r="BC4"/>
  <c r="AB13"/>
  <c r="S9"/>
  <c r="AA4"/>
  <c r="BM12"/>
  <c r="AT7"/>
  <c r="BJ5"/>
  <c r="BG9"/>
  <c r="BK15"/>
  <c r="AL4"/>
  <c r="AP17"/>
  <c r="AN12"/>
  <c r="F12"/>
  <c r="F22"/>
  <c r="W23"/>
  <c r="N20"/>
  <c r="BA15"/>
  <c r="AH12"/>
  <c r="AB10"/>
  <c r="V6"/>
  <c r="H23"/>
  <c r="BC18"/>
  <c r="AT15"/>
  <c r="X11"/>
  <c r="AW23"/>
  <c r="AF20"/>
  <c r="T21"/>
  <c r="H22"/>
  <c r="AU17"/>
  <c r="AO13"/>
  <c r="X10"/>
  <c r="BK5"/>
  <c r="AP22"/>
  <c r="AD23"/>
  <c r="M20"/>
  <c r="AQ13"/>
  <c r="AM7"/>
  <c r="G16"/>
  <c r="BI18"/>
  <c r="AR12"/>
  <c r="Y6"/>
  <c r="J13"/>
  <c r="S16"/>
  <c r="BK9"/>
  <c r="U4"/>
  <c r="N5"/>
  <c r="H15"/>
  <c r="BH7"/>
  <c r="BE18"/>
  <c r="O13"/>
  <c r="O12"/>
  <c r="W12"/>
  <c r="BF11"/>
  <c r="BF10"/>
  <c r="AD10"/>
  <c r="BA6"/>
  <c r="AD5"/>
  <c r="AE23"/>
  <c r="AB22"/>
  <c r="Y21"/>
  <c r="V20"/>
  <c r="N18"/>
  <c r="BL16"/>
  <c r="BI15"/>
  <c r="BA13"/>
  <c r="AP12"/>
  <c r="AM11"/>
  <c r="AJ10"/>
  <c r="AG9"/>
  <c r="AG7"/>
  <c r="AD6"/>
  <c r="S5"/>
  <c r="P4"/>
  <c r="P23"/>
  <c r="M22"/>
  <c r="BK20"/>
  <c r="BK18"/>
  <c r="BH17"/>
  <c r="BE16"/>
  <c r="BB15"/>
  <c r="AT13"/>
  <c r="AI12"/>
  <c r="AF11"/>
  <c r="AC10"/>
  <c r="R9"/>
  <c r="BE23"/>
  <c r="BB22"/>
  <c r="AQ21"/>
  <c r="AE22"/>
  <c r="AB21"/>
  <c r="Y20"/>
  <c r="S23"/>
  <c r="P22"/>
  <c r="BF18"/>
  <c r="BC17"/>
  <c r="AW15"/>
  <c r="AT12"/>
  <c r="AF10"/>
  <c r="J6"/>
  <c r="BI23"/>
  <c r="AR20"/>
  <c r="AA22"/>
  <c r="AI18"/>
  <c r="BM11"/>
  <c r="M6"/>
  <c r="AO10"/>
  <c r="AG17"/>
  <c r="BK10"/>
  <c r="AJ6"/>
  <c r="AV13"/>
  <c r="AE16"/>
  <c r="BB11"/>
  <c r="BD5"/>
  <c r="AA9"/>
  <c r="BJ16"/>
  <c r="I11"/>
  <c r="Q5"/>
  <c r="AI15"/>
  <c r="Q4"/>
  <c r="BB21"/>
  <c r="W4"/>
  <c r="H18"/>
  <c r="AM16"/>
  <c r="AK11"/>
  <c r="AY7"/>
  <c r="F20"/>
  <c r="BL9"/>
  <c r="BC7"/>
  <c r="BE11"/>
  <c r="Z17"/>
  <c r="AQ9"/>
  <c r="AO17"/>
  <c r="AP10"/>
  <c r="AU4"/>
  <c r="R5"/>
  <c r="AB12"/>
  <c r="BJ11"/>
  <c r="BF5"/>
  <c r="F9"/>
  <c r="BC23"/>
  <c r="AT20"/>
  <c r="X16"/>
  <c r="G23"/>
  <c r="BM21"/>
  <c r="BJ20"/>
  <c r="BB18"/>
  <c r="AQ17"/>
  <c r="AN16"/>
  <c r="AK15"/>
  <c r="AC13"/>
  <c r="R12"/>
  <c r="O11"/>
  <c r="L10"/>
  <c r="I9"/>
  <c r="I7"/>
  <c r="BG5"/>
  <c r="BD4"/>
  <c r="BD23"/>
  <c r="BA22"/>
  <c r="AP21"/>
  <c r="AM20"/>
  <c r="AM18"/>
  <c r="AJ17"/>
  <c r="AG16"/>
  <c r="AD15"/>
  <c r="V13"/>
  <c r="K12"/>
  <c r="H11"/>
  <c r="BF9"/>
  <c r="AX7"/>
  <c r="AG23"/>
  <c r="AD22"/>
  <c r="S21"/>
  <c r="P20"/>
  <c r="J23"/>
  <c r="G22"/>
  <c r="BM20"/>
  <c r="BG23"/>
  <c r="BD22"/>
  <c r="BA21"/>
  <c r="AP20"/>
  <c r="AH18"/>
  <c r="AE17"/>
  <c r="AB16"/>
  <c r="Y15"/>
  <c r="Y13"/>
  <c r="V12"/>
  <c r="K11"/>
  <c r="H10"/>
  <c r="BI7"/>
  <c r="AX6"/>
  <c r="AU5"/>
  <c r="AR4"/>
  <c r="AK23"/>
  <c r="Z22"/>
  <c r="W21"/>
  <c r="T20"/>
  <c r="N23"/>
  <c r="BL21"/>
  <c r="BI20"/>
  <c r="Q22"/>
  <c r="BE17"/>
  <c r="BL15"/>
  <c r="R13"/>
  <c r="Z11"/>
  <c r="AU9"/>
  <c r="O7"/>
  <c r="AP5"/>
  <c r="R4"/>
  <c r="AE15"/>
  <c r="N9"/>
  <c r="BB4"/>
  <c r="AJ18"/>
  <c r="BC16"/>
  <c r="BF13"/>
  <c r="Q12"/>
  <c r="Y10"/>
  <c r="AN7"/>
  <c r="BM5"/>
  <c r="AO4"/>
  <c r="BM18"/>
  <c r="AD11"/>
  <c r="AQ20"/>
  <c r="AH17"/>
  <c r="AP15"/>
  <c r="BE12"/>
  <c r="Q11"/>
  <c r="AL9"/>
  <c r="BG6"/>
  <c r="X5"/>
  <c r="AZ18"/>
  <c r="AI13"/>
  <c r="BH6"/>
  <c r="AQ4"/>
  <c r="BM17"/>
  <c r="W16"/>
  <c r="AY13"/>
  <c r="L12"/>
  <c r="AE10"/>
  <c r="AI7"/>
  <c r="I6"/>
  <c r="AI4"/>
  <c r="AF18"/>
  <c r="AL16"/>
  <c r="AG18"/>
  <c r="M12"/>
  <c r="BI6"/>
  <c r="BD17"/>
  <c r="L11"/>
  <c r="H6"/>
  <c r="M17"/>
  <c r="T11"/>
  <c r="AN6"/>
  <c r="AA16"/>
  <c r="BC10"/>
  <c r="T5"/>
  <c r="AX15"/>
  <c r="BB9"/>
  <c r="BF4"/>
  <c r="AJ13"/>
  <c r="T9"/>
  <c r="N7"/>
  <c r="S20"/>
  <c r="T18"/>
  <c r="BI5"/>
  <c r="M4"/>
  <c r="S15"/>
  <c r="F23"/>
  <c r="F7"/>
  <c r="T22"/>
  <c r="BG17"/>
  <c r="AS13"/>
  <c r="Y9"/>
  <c r="K5"/>
  <c r="BF21"/>
  <c r="AZ17"/>
  <c r="AL13"/>
  <c r="U10"/>
  <c r="AT22"/>
  <c r="Z23"/>
  <c r="Q20"/>
  <c r="BF20"/>
  <c r="AO15"/>
  <c r="AA11"/>
  <c r="M7"/>
  <c r="BA23"/>
  <c r="AJ20"/>
  <c r="P21"/>
  <c r="AC16"/>
  <c r="J10"/>
  <c r="AM4"/>
  <c r="AT5"/>
  <c r="AA15"/>
  <c r="K9"/>
  <c r="AT21"/>
  <c r="BI17"/>
  <c r="AP11"/>
  <c r="AS5"/>
  <c r="AR7"/>
  <c r="AX16"/>
  <c r="BE10"/>
  <c r="BE4"/>
  <c r="W15"/>
  <c r="N21"/>
  <c r="AS18"/>
  <c r="AF7"/>
  <c r="L6"/>
  <c r="AZ5"/>
  <c r="AJ11"/>
  <c r="AB18"/>
  <c r="F11"/>
  <c r="AH23"/>
  <c r="AC9"/>
  <c r="AU21"/>
  <c r="X21"/>
  <c r="AP16"/>
  <c r="W10"/>
  <c r="AX4"/>
  <c r="G6"/>
  <c r="AN15"/>
  <c r="W9"/>
  <c r="AO22"/>
  <c r="L18"/>
  <c r="N10"/>
  <c r="AE4"/>
  <c r="AJ5"/>
  <c r="T15"/>
  <c r="P9"/>
  <c r="K20"/>
  <c r="AX13"/>
  <c r="AZ12"/>
  <c r="BA12"/>
  <c r="Y12"/>
  <c r="Y11"/>
  <c r="AN13"/>
  <c r="AR23"/>
  <c r="F16"/>
  <c r="BG13"/>
  <c r="BA4"/>
  <c r="BJ21"/>
  <c r="AH11"/>
  <c r="AL5"/>
  <c r="J16"/>
  <c r="AZ13"/>
  <c r="AR9"/>
  <c r="I22"/>
  <c r="P18"/>
  <c r="U6"/>
  <c r="AM12"/>
  <c r="AW21"/>
  <c r="AA17"/>
  <c r="BK11"/>
  <c r="O23"/>
  <c r="L22"/>
  <c r="I21"/>
  <c r="BJ18"/>
  <c r="AY17"/>
  <c r="AV16"/>
  <c r="AS15"/>
  <c r="AK13"/>
  <c r="Z12"/>
  <c r="W11"/>
  <c r="T10"/>
  <c r="Q9"/>
  <c r="Q7"/>
  <c r="N6"/>
  <c r="BL4"/>
  <c r="BL23"/>
  <c r="BI22"/>
  <c r="AX21"/>
  <c r="AU20"/>
  <c r="AU18"/>
  <c r="AR17"/>
  <c r="AO16"/>
  <c r="AL15"/>
  <c r="AD13"/>
  <c r="S12"/>
  <c r="P11"/>
  <c r="M10"/>
  <c r="BF7"/>
  <c r="AO23"/>
  <c r="AL22"/>
  <c r="AA21"/>
  <c r="X20"/>
  <c r="R23"/>
  <c r="O22"/>
  <c r="L21"/>
  <c r="I20"/>
  <c r="BL22"/>
  <c r="BI21"/>
  <c r="AX20"/>
  <c r="AP18"/>
  <c r="AM17"/>
  <c r="AJ16"/>
  <c r="AG15"/>
  <c r="AG13"/>
  <c r="AD12"/>
  <c r="S11"/>
  <c r="P10"/>
  <c r="M9"/>
  <c r="BF6"/>
  <c r="BC5"/>
  <c r="AZ4"/>
  <c r="AS23"/>
  <c r="AH22"/>
  <c r="AE21"/>
  <c r="AB20"/>
  <c r="V23"/>
  <c r="K22"/>
  <c r="H21"/>
  <c r="L23"/>
  <c r="I18"/>
  <c r="O16"/>
  <c r="AE13"/>
  <c r="AL11"/>
  <c r="BH9"/>
  <c r="AA7"/>
  <c r="BA5"/>
  <c r="AC4"/>
  <c r="BD15"/>
  <c r="AZ9"/>
  <c r="Y5"/>
  <c r="AW18"/>
  <c r="H17"/>
  <c r="O15"/>
  <c r="AE12"/>
  <c r="AL10"/>
  <c r="BB7"/>
  <c r="O6"/>
  <c r="AY4"/>
  <c r="AY20"/>
  <c r="U12"/>
  <c r="AL21"/>
  <c r="AV17"/>
  <c r="BC15"/>
  <c r="H13"/>
  <c r="AC11"/>
  <c r="AY9"/>
  <c r="G7"/>
  <c r="AH5"/>
  <c r="J4"/>
  <c r="BH13"/>
  <c r="S7"/>
  <c r="BM4"/>
  <c r="Q18"/>
  <c r="AK16"/>
  <c r="BL13"/>
  <c r="X12"/>
  <c r="AQ10"/>
  <c r="AU7"/>
  <c r="T6"/>
  <c r="AT4"/>
  <c r="AR18"/>
  <c r="AY16"/>
  <c r="J15"/>
  <c r="AV12"/>
  <c r="W7"/>
  <c r="AO18"/>
  <c r="AW11"/>
  <c r="AG6"/>
  <c r="BL17"/>
  <c r="AX11"/>
  <c r="BM6"/>
  <c r="Q17"/>
  <c r="V11"/>
  <c r="AX5"/>
  <c r="AI16"/>
  <c r="V10"/>
  <c r="Z5"/>
  <c r="G15"/>
  <c r="BD9"/>
  <c r="AB9"/>
  <c r="T7"/>
  <c r="AH4"/>
  <c r="K13"/>
  <c r="AC5"/>
  <c r="O4"/>
  <c r="F6"/>
  <c r="F5"/>
  <c r="Q21"/>
  <c r="BD16"/>
  <c r="AE11"/>
  <c r="Y7"/>
  <c r="H4"/>
  <c r="BC20"/>
  <c r="AW16"/>
  <c r="AA12"/>
  <c r="J9"/>
  <c r="AI21"/>
  <c r="W22"/>
  <c r="K23"/>
  <c r="AX18"/>
  <c r="AR16"/>
  <c r="AL12"/>
  <c r="U9"/>
  <c r="BH4"/>
  <c r="AM21"/>
  <c r="S22"/>
  <c r="U18"/>
  <c r="AZ11"/>
  <c r="BL5"/>
  <c r="O10"/>
  <c r="U17"/>
  <c r="AX10"/>
  <c r="BJ4"/>
  <c r="AG22"/>
  <c r="T13"/>
  <c r="R7"/>
  <c r="R15"/>
  <c r="AC18"/>
  <c r="AK12"/>
  <c r="AE6"/>
  <c r="BK16"/>
  <c r="BG7"/>
  <c r="BL6"/>
  <c r="BA18"/>
  <c r="Y17"/>
  <c r="BF15"/>
  <c r="AE9"/>
  <c r="W6"/>
  <c r="F4"/>
  <c r="AN20"/>
  <c r="M21"/>
  <c r="AZ16"/>
  <c r="AW13"/>
  <c r="AI11"/>
  <c r="U7"/>
  <c r="G5"/>
  <c r="AX22"/>
  <c r="AL23"/>
  <c r="U20"/>
  <c r="BD13"/>
  <c r="AZ7"/>
  <c r="AT16"/>
  <c r="AI20"/>
  <c r="BD12"/>
  <c r="L5"/>
  <c r="AB23"/>
  <c r="AH13"/>
  <c r="AD7"/>
  <c r="U16"/>
  <c r="AQ18"/>
  <c r="AW12"/>
  <c r="AO6"/>
  <c r="P17"/>
  <c r="AF9"/>
  <c r="X7"/>
  <c r="BK7"/>
  <c r="AQ6"/>
  <c r="S6"/>
  <c r="BG10"/>
  <c r="K4"/>
  <c r="AC6"/>
  <c r="AK18"/>
  <c r="AA6"/>
  <c r="Q6"/>
  <c r="AU15"/>
  <c r="BK6"/>
  <c r="BH15"/>
  <c r="I5"/>
  <c r="BC13"/>
  <c r="AA13"/>
  <c r="J7"/>
  <c r="BA16"/>
  <c r="AL17"/>
  <c r="F15"/>
  <c r="AZ22"/>
  <c r="AL18"/>
  <c r="M13"/>
  <c r="AM23"/>
  <c r="AJ22"/>
  <c r="AG21"/>
  <c r="AD20"/>
  <c r="V18"/>
  <c r="K17"/>
  <c r="H16"/>
  <c r="BI13"/>
  <c r="AX12"/>
  <c r="AU11"/>
  <c r="AR10"/>
  <c r="AO9"/>
  <c r="AO7"/>
  <c r="AL6"/>
  <c r="AA5"/>
  <c r="X4"/>
  <c r="X23"/>
  <c r="U22"/>
  <c r="J21"/>
  <c r="G20"/>
  <c r="G18"/>
  <c r="BM16"/>
  <c r="BJ15"/>
  <c r="BB13"/>
  <c r="AQ12"/>
  <c r="AN11"/>
  <c r="AK10"/>
  <c r="Z9"/>
  <c r="BM23"/>
  <c r="BJ22"/>
  <c r="AY21"/>
  <c r="AV20"/>
  <c r="AP23"/>
  <c r="AM22"/>
  <c r="AJ21"/>
  <c r="AG20"/>
  <c r="AA23"/>
  <c r="X22"/>
  <c r="U21"/>
  <c r="J20"/>
  <c r="BK17"/>
  <c r="BH16"/>
  <c r="BE15"/>
  <c r="BE13"/>
  <c r="BB12"/>
  <c r="AQ11"/>
  <c r="AN10"/>
  <c r="AK9"/>
  <c r="AC7"/>
  <c r="R6"/>
  <c r="O5"/>
  <c r="L4"/>
  <c r="BF22"/>
  <c r="BC21"/>
  <c r="AZ20"/>
  <c r="AT23"/>
  <c r="AI22"/>
  <c r="AF21"/>
  <c r="AC20"/>
  <c r="AV18"/>
  <c r="BB16"/>
  <c r="L15"/>
  <c r="P12"/>
  <c r="AI10"/>
  <c r="BL7"/>
  <c r="X6"/>
  <c r="BI4"/>
  <c r="J17"/>
  <c r="AR11"/>
  <c r="AM6"/>
  <c r="AD21"/>
  <c r="AT17"/>
  <c r="AZ15"/>
  <c r="G13"/>
  <c r="N11"/>
  <c r="AJ9"/>
  <c r="AU6"/>
  <c r="V5"/>
  <c r="AJ23"/>
  <c r="AQ15"/>
  <c r="AM9"/>
  <c r="Y18"/>
  <c r="AS16"/>
  <c r="AU13"/>
  <c r="G12"/>
  <c r="Z10"/>
  <c r="AQ7"/>
  <c r="P6"/>
  <c r="AP4"/>
  <c r="BG16"/>
  <c r="R11"/>
  <c r="BE5"/>
  <c r="BD18"/>
  <c r="N17"/>
  <c r="AH15"/>
  <c r="BK12"/>
  <c r="U11"/>
  <c r="AD9"/>
  <c r="AZ6"/>
  <c r="AB5"/>
  <c r="BM22"/>
  <c r="AC17"/>
  <c r="AV15"/>
  <c r="X15"/>
  <c r="G10"/>
  <c r="AS4"/>
  <c r="P13"/>
  <c r="BJ7"/>
  <c r="V4"/>
  <c r="X13"/>
  <c r="G9"/>
  <c r="AW4"/>
  <c r="BI12"/>
  <c r="AJ7"/>
  <c r="BG18"/>
  <c r="BI11"/>
  <c r="AR6"/>
  <c r="AD17"/>
  <c r="AG11"/>
  <c r="AU16"/>
  <c r="AP13"/>
  <c r="H5"/>
  <c r="AK4"/>
  <c r="I12"/>
  <c r="AG10"/>
  <c r="F21"/>
  <c r="F18"/>
  <c r="F17"/>
  <c r="AU23"/>
  <c r="AR22"/>
  <c r="AO21"/>
  <c r="AL20"/>
  <c r="AD18"/>
  <c r="S17"/>
  <c r="P16"/>
  <c r="M15"/>
  <c r="BF12"/>
  <c r="BC11"/>
  <c r="AZ10"/>
  <c r="AW9"/>
  <c r="AW7"/>
  <c r="AT6"/>
  <c r="AI5"/>
  <c r="AF4"/>
  <c r="AF23"/>
  <c r="AC22"/>
  <c r="R21"/>
  <c r="O20"/>
  <c r="O18"/>
  <c r="L17"/>
  <c r="I16"/>
  <c r="BJ13"/>
  <c r="AY12"/>
  <c r="AV11"/>
  <c r="AS10"/>
  <c r="AH9"/>
  <c r="Z7"/>
  <c r="I23"/>
  <c r="BG21"/>
  <c r="BD20"/>
  <c r="AX23"/>
  <c r="AU22"/>
  <c r="AR21"/>
  <c r="AO20"/>
  <c r="AI23"/>
  <c r="AF22"/>
  <c r="AC21"/>
  <c r="R20"/>
  <c r="J18"/>
  <c r="G17"/>
  <c r="BM15"/>
  <c r="BM13"/>
  <c r="BJ12"/>
  <c r="AY11"/>
  <c r="AV10"/>
  <c r="AS9"/>
  <c r="AK7"/>
  <c r="Z6"/>
  <c r="W5"/>
  <c r="T4"/>
  <c r="M23"/>
  <c r="BK21"/>
  <c r="BH20"/>
  <c r="BB23"/>
  <c r="AQ22"/>
  <c r="AN21"/>
  <c r="AK20"/>
  <c r="BH18"/>
  <c r="R17"/>
  <c r="Z15"/>
  <c r="AC12"/>
  <c r="AW10"/>
  <c r="H9"/>
  <c r="AI6"/>
  <c r="J5"/>
  <c r="AW17"/>
  <c r="AG12"/>
  <c r="H7"/>
  <c r="Y22"/>
  <c r="BF17"/>
  <c r="R16"/>
  <c r="S13"/>
  <c r="AB11"/>
  <c r="AV9"/>
  <c r="BE6"/>
  <c r="AG5"/>
  <c r="I4"/>
  <c r="AH16"/>
  <c r="BF16"/>
  <c r="T12"/>
  <c r="AM10"/>
  <c r="AK17"/>
  <c r="L13"/>
  <c r="BH23"/>
  <c r="AN9"/>
  <c r="O9"/>
  <c r="AY6"/>
  <c r="AK5"/>
  <c r="AN23"/>
  <c r="BG12"/>
  <c r="BF23"/>
  <c r="R18"/>
  <c r="AS7"/>
  <c r="AY22"/>
  <c r="V9"/>
  <c r="AD16"/>
  <c r="AA10"/>
  <c r="AT11"/>
  <c r="BK13"/>
  <c r="AK21"/>
  <c r="AO12"/>
  <c r="L9"/>
  <c r="Q10"/>
  <c r="BB6"/>
  <c r="AN22"/>
  <c r="AM15"/>
  <c r="AY10"/>
  <c r="AJ15"/>
  <c r="AH7"/>
  <c r="AF17"/>
  <c r="AF12"/>
  <c r="AL7"/>
  <c r="AN4"/>
  <c r="N15"/>
  <c r="BL20"/>
  <c r="Z20"/>
  <c r="BA9"/>
  <c r="BJ23"/>
  <c r="BJ10"/>
  <c r="K18"/>
  <c r="X17"/>
  <c r="AK6"/>
  <c r="Z13"/>
  <c r="BI16"/>
  <c r="AV5"/>
  <c r="L7"/>
  <c r="F13"/>
  <c r="AQ5"/>
  <c r="N22"/>
  <c r="BD10"/>
  <c r="T23"/>
  <c r="BG15"/>
  <c r="AJ12"/>
  <c r="T17"/>
  <c r="BG11"/>
  <c r="AE7"/>
  <c r="AN17"/>
  <c r="AW22"/>
  <c r="W18"/>
  <c r="I13"/>
  <c r="P7"/>
  <c r="P5"/>
  <c r="BE9"/>
  <c r="W20"/>
  <c r="AP9"/>
  <c r="AW20"/>
  <c r="I15"/>
  <c r="AB4"/>
  <c r="AA20"/>
  <c r="AN18"/>
  <c r="BJ9"/>
  <c r="P15"/>
  <c r="AB6"/>
  <c r="AW5"/>
  <c r="I10"/>
  <c r="BL12"/>
  <c r="BG20"/>
  <c r="BH10"/>
  <c r="Z21"/>
  <c r="BA10"/>
  <c r="AZ21"/>
  <c r="L16"/>
  <c r="AE5"/>
  <c r="AS20"/>
  <c r="U5"/>
  <c r="AO11"/>
  <c r="I17"/>
  <c r="H12"/>
  <c r="K7"/>
  <c r="AF15"/>
  <c r="Z4"/>
  <c r="BC6"/>
  <c r="U23"/>
  <c r="BE22"/>
  <c r="K15"/>
  <c r="U15"/>
  <c r="AK22"/>
  <c r="BD11"/>
  <c r="BC22"/>
  <c r="O17"/>
  <c r="AH6"/>
  <c r="AV21"/>
  <c r="AS6"/>
  <c r="AF13"/>
  <c r="AY18"/>
  <c r="BJ17"/>
  <c r="BC9"/>
  <c r="AN5"/>
  <c r="AT9"/>
  <c r="AV7"/>
  <c r="BK4"/>
  <c r="J11"/>
  <c r="BG4"/>
  <c r="Q16"/>
  <c r="G21"/>
  <c r="S4"/>
  <c r="M16"/>
  <c r="F10"/>
  <c r="Q23"/>
  <c r="J22"/>
  <c r="AR5"/>
  <c r="BB17"/>
  <c r="AH10"/>
  <c r="BE7"/>
  <c r="AQ23"/>
  <c r="BH12"/>
  <c r="N4"/>
  <c r="U8" i="2" l="1"/>
  <c r="M8"/>
  <c r="AO8"/>
  <c r="W8"/>
  <c r="BL8"/>
  <c r="K8"/>
  <c r="BG8"/>
  <c r="AJ8"/>
  <c r="Q8"/>
  <c r="I8"/>
  <c r="V8"/>
  <c r="AP8"/>
  <c r="AH8"/>
  <c r="AQ8"/>
  <c r="AB8"/>
  <c r="AM8"/>
  <c r="AC8"/>
  <c r="AW8"/>
  <c r="AK8"/>
  <c r="AT8"/>
  <c r="AE8"/>
  <c r="BC8"/>
  <c r="J8"/>
  <c r="AF8"/>
  <c r="N8"/>
  <c r="AN8"/>
  <c r="AG8"/>
  <c r="AR8"/>
  <c r="BF8"/>
  <c r="R8"/>
  <c r="BI8"/>
  <c r="AY8"/>
  <c r="BD8"/>
  <c r="AS8"/>
  <c r="BM8"/>
  <c r="X8"/>
  <c r="AI8"/>
  <c r="AD8"/>
  <c r="S8"/>
  <c r="BJ8"/>
  <c r="Y8"/>
  <c r="BH8"/>
  <c r="AA8"/>
  <c r="AZ8"/>
  <c r="BA8"/>
  <c r="AV8"/>
  <c r="BE8"/>
  <c r="P8"/>
  <c r="BK8"/>
  <c r="AL8"/>
  <c r="AX8"/>
  <c r="Z8"/>
  <c r="T8"/>
  <c r="AU8"/>
  <c r="BB8"/>
  <c r="L8"/>
  <c r="O8"/>
  <c r="G8"/>
  <c r="H8"/>
  <c r="G14"/>
  <c r="G19"/>
  <c r="H19"/>
  <c r="H14"/>
  <c r="U19"/>
  <c r="U14"/>
  <c r="M19"/>
  <c r="M14"/>
  <c r="AO14"/>
  <c r="AO19"/>
  <c r="W14"/>
  <c r="W19"/>
  <c r="BL19"/>
  <c r="BL14"/>
  <c r="K14"/>
  <c r="K19"/>
  <c r="BG14"/>
  <c r="BG19"/>
  <c r="AJ14"/>
  <c r="AJ19"/>
  <c r="Q14"/>
  <c r="Q19"/>
  <c r="I14"/>
  <c r="I19"/>
  <c r="V19"/>
  <c r="V14"/>
  <c r="AP19"/>
  <c r="AP14"/>
  <c r="AH19"/>
  <c r="AH14"/>
  <c r="AQ14"/>
  <c r="AQ19"/>
  <c r="AB14"/>
  <c r="AB19"/>
  <c r="AM14"/>
  <c r="AM19"/>
  <c r="AC14"/>
  <c r="AC19"/>
  <c r="AW19"/>
  <c r="AW14"/>
  <c r="AK19"/>
  <c r="AK14"/>
  <c r="AT19"/>
  <c r="AT14"/>
  <c r="AE14"/>
  <c r="AE19"/>
  <c r="BC14"/>
  <c r="BC19"/>
  <c r="J19"/>
  <c r="J14"/>
  <c r="AF14"/>
  <c r="AF19"/>
  <c r="N19"/>
  <c r="N14"/>
  <c r="AN14"/>
  <c r="AN19"/>
  <c r="AG19"/>
  <c r="AG14"/>
  <c r="AR14"/>
  <c r="AR19"/>
  <c r="BF19"/>
  <c r="BF14"/>
  <c r="R19"/>
  <c r="R14"/>
  <c r="BI14"/>
  <c r="BI19"/>
  <c r="AY14"/>
  <c r="AY19"/>
  <c r="BD14"/>
  <c r="BD19"/>
  <c r="AS14"/>
  <c r="AS19"/>
  <c r="BM14"/>
  <c r="BM19"/>
  <c r="X19"/>
  <c r="X14"/>
  <c r="AI14"/>
  <c r="AI19"/>
  <c r="AD19"/>
  <c r="AD14"/>
  <c r="S14"/>
  <c r="S19"/>
  <c r="BJ14"/>
  <c r="BJ19"/>
  <c r="Y19"/>
  <c r="Y14"/>
  <c r="BH14"/>
  <c r="BH19"/>
  <c r="AA14"/>
  <c r="AA19"/>
  <c r="AZ14"/>
  <c r="AZ19"/>
  <c r="BA14"/>
  <c r="BA19"/>
  <c r="AV14"/>
  <c r="AV19"/>
  <c r="BE14"/>
  <c r="BE19"/>
  <c r="P19"/>
  <c r="P14"/>
  <c r="BK14"/>
  <c r="BK19"/>
  <c r="AL19"/>
  <c r="AL14"/>
  <c r="AX19"/>
  <c r="AX14"/>
  <c r="Z19"/>
  <c r="Z14"/>
  <c r="T14"/>
  <c r="T19"/>
  <c r="AU14"/>
  <c r="AU19"/>
  <c r="BB19"/>
  <c r="BB14"/>
  <c r="L14"/>
  <c r="L19"/>
  <c r="O14"/>
  <c r="O19"/>
  <c r="N4"/>
  <c r="BH12"/>
  <c r="AQ23"/>
  <c r="BE7"/>
  <c r="AH10"/>
  <c r="BB17"/>
  <c r="AR5"/>
  <c r="J22"/>
  <c r="Q23"/>
  <c r="F10"/>
  <c r="M16"/>
  <c r="S4"/>
  <c r="G21"/>
  <c r="Q16"/>
  <c r="BG4"/>
  <c r="J11"/>
  <c r="BK4"/>
  <c r="AV7"/>
  <c r="AT9"/>
  <c r="AN5"/>
  <c r="BC9"/>
  <c r="BJ17"/>
  <c r="AY18"/>
  <c r="AF13"/>
  <c r="AS6"/>
  <c r="AV21"/>
  <c r="AH6"/>
  <c r="O17"/>
  <c r="BC22"/>
  <c r="BD11"/>
  <c r="AK22"/>
  <c r="U15"/>
  <c r="K15"/>
  <c r="BE22"/>
  <c r="U23"/>
  <c r="BC6"/>
  <c r="Z4"/>
  <c r="AF15"/>
  <c r="K7"/>
  <c r="H12"/>
  <c r="I17"/>
  <c r="AO11"/>
  <c r="U5"/>
  <c r="AS20"/>
  <c r="AE5"/>
  <c r="L16"/>
  <c r="AZ21"/>
  <c r="BA10"/>
  <c r="Z21"/>
  <c r="BH10"/>
  <c r="BG20"/>
  <c r="BL12"/>
  <c r="I10"/>
  <c r="AW5"/>
  <c r="AB6"/>
  <c r="P15"/>
  <c r="BJ9"/>
  <c r="AN18"/>
  <c r="AA20"/>
  <c r="AB4"/>
  <c r="I15"/>
  <c r="AW20"/>
  <c r="AP9"/>
  <c r="W20"/>
  <c r="BE9"/>
  <c r="P5"/>
  <c r="P7"/>
  <c r="I13"/>
  <c r="W18"/>
  <c r="AW22"/>
  <c r="AN17"/>
  <c r="AE7"/>
  <c r="BG11"/>
  <c r="T17"/>
  <c r="AJ12"/>
  <c r="BG15"/>
  <c r="T23"/>
  <c r="BD10"/>
  <c r="N22"/>
  <c r="AQ5"/>
  <c r="F13"/>
  <c r="L7"/>
  <c r="AV5"/>
  <c r="BI16"/>
  <c r="Z13"/>
  <c r="AK6"/>
  <c r="X17"/>
  <c r="K18"/>
  <c r="BJ10"/>
  <c r="BJ23"/>
  <c r="BA9"/>
  <c r="Z20"/>
  <c r="BL20"/>
  <c r="N15"/>
  <c r="AN4"/>
  <c r="AL7"/>
  <c r="AF12"/>
  <c r="AF17"/>
  <c r="AH7"/>
  <c r="AJ15"/>
  <c r="AY10"/>
  <c r="AM15"/>
  <c r="AN22"/>
  <c r="BB6"/>
  <c r="Q10"/>
  <c r="L9"/>
  <c r="AO12"/>
  <c r="AK21"/>
  <c r="BK13"/>
  <c r="AT11"/>
  <c r="AA10"/>
  <c r="AD16"/>
  <c r="V9"/>
  <c r="AY22"/>
  <c r="AS7"/>
  <c r="R18"/>
  <c r="BF23"/>
  <c r="BG12"/>
  <c r="AN23"/>
  <c r="AK5"/>
  <c r="AY6"/>
  <c r="O9"/>
  <c r="AN9"/>
  <c r="BH23"/>
  <c r="L13"/>
  <c r="AK17"/>
  <c r="AM10"/>
  <c r="T12"/>
  <c r="BF16"/>
  <c r="AH16"/>
  <c r="I4"/>
  <c r="AG5"/>
  <c r="BE6"/>
  <c r="AV9"/>
  <c r="AB11"/>
  <c r="S13"/>
  <c r="R16"/>
  <c r="BF17"/>
  <c r="Y22"/>
  <c r="H7"/>
  <c r="AG12"/>
  <c r="AW17"/>
  <c r="J5"/>
  <c r="AI6"/>
  <c r="H9"/>
  <c r="AW10"/>
  <c r="AC12"/>
  <c r="Z15"/>
  <c r="R17"/>
  <c r="BH18"/>
  <c r="AK20"/>
  <c r="AN21"/>
  <c r="AQ22"/>
  <c r="BB23"/>
  <c r="BH20"/>
  <c r="BK21"/>
  <c r="M23"/>
  <c r="T4"/>
  <c r="W5"/>
  <c r="Z6"/>
  <c r="AK7"/>
  <c r="AS9"/>
  <c r="AV10"/>
  <c r="AY11"/>
  <c r="BJ12"/>
  <c r="BM13"/>
  <c r="BM15"/>
  <c r="G17"/>
  <c r="J18"/>
  <c r="R20"/>
  <c r="AC21"/>
  <c r="AF22"/>
  <c r="AI23"/>
  <c r="AO20"/>
  <c r="AR21"/>
  <c r="AU22"/>
  <c r="AX23"/>
  <c r="BD20"/>
  <c r="BG21"/>
  <c r="I23"/>
  <c r="Z7"/>
  <c r="AH9"/>
  <c r="AS10"/>
  <c r="AV11"/>
  <c r="AY12"/>
  <c r="BJ13"/>
  <c r="I16"/>
  <c r="L17"/>
  <c r="O18"/>
  <c r="O20"/>
  <c r="R21"/>
  <c r="AC22"/>
  <c r="AF23"/>
  <c r="AF4"/>
  <c r="AI5"/>
  <c r="AT6"/>
  <c r="AW7"/>
  <c r="AW9"/>
  <c r="AZ10"/>
  <c r="BC11"/>
  <c r="BF12"/>
  <c r="M15"/>
  <c r="P16"/>
  <c r="S17"/>
  <c r="AD18"/>
  <c r="AL20"/>
  <c r="AO21"/>
  <c r="AR22"/>
  <c r="AU23"/>
  <c r="F17"/>
  <c r="F18"/>
  <c r="F21"/>
  <c r="AG10"/>
  <c r="I12"/>
  <c r="AK4"/>
  <c r="H5"/>
  <c r="AP13"/>
  <c r="AU16"/>
  <c r="AG11"/>
  <c r="AD17"/>
  <c r="AR6"/>
  <c r="BI11"/>
  <c r="BG18"/>
  <c r="AJ7"/>
  <c r="BI12"/>
  <c r="AW4"/>
  <c r="G9"/>
  <c r="X13"/>
  <c r="V4"/>
  <c r="BJ7"/>
  <c r="P13"/>
  <c r="AS4"/>
  <c r="G10"/>
  <c r="X15"/>
  <c r="AV15"/>
  <c r="AC17"/>
  <c r="BM22"/>
  <c r="AB5"/>
  <c r="AZ6"/>
  <c r="AD9"/>
  <c r="U11"/>
  <c r="BK12"/>
  <c r="AH15"/>
  <c r="N17"/>
  <c r="BD18"/>
  <c r="BE5"/>
  <c r="R11"/>
  <c r="BG16"/>
  <c r="AP4"/>
  <c r="P6"/>
  <c r="AQ7"/>
  <c r="Z10"/>
  <c r="G12"/>
  <c r="AU13"/>
  <c r="AS16"/>
  <c r="Y18"/>
  <c r="AM9"/>
  <c r="AQ15"/>
  <c r="AJ23"/>
  <c r="V5"/>
  <c r="AU6"/>
  <c r="AJ9"/>
  <c r="N11"/>
  <c r="G13"/>
  <c r="AZ15"/>
  <c r="AT17"/>
  <c r="AD21"/>
  <c r="AM6"/>
  <c r="AR11"/>
  <c r="J17"/>
  <c r="BI4"/>
  <c r="X6"/>
  <c r="BL7"/>
  <c r="AI10"/>
  <c r="P12"/>
  <c r="L15"/>
  <c r="BB16"/>
  <c r="AV18"/>
  <c r="AC20"/>
  <c r="AF21"/>
  <c r="AI22"/>
  <c r="AT23"/>
  <c r="AZ20"/>
  <c r="BC21"/>
  <c r="BF22"/>
  <c r="L4"/>
  <c r="O5"/>
  <c r="R6"/>
  <c r="AC7"/>
  <c r="AK9"/>
  <c r="AN10"/>
  <c r="AQ11"/>
  <c r="BB12"/>
  <c r="BE13"/>
  <c r="BE15"/>
  <c r="BH16"/>
  <c r="BK17"/>
  <c r="J20"/>
  <c r="U21"/>
  <c r="X22"/>
  <c r="AA23"/>
  <c r="AG20"/>
  <c r="AJ21"/>
  <c r="AM22"/>
  <c r="AP23"/>
  <c r="AV20"/>
  <c r="AY21"/>
  <c r="BJ22"/>
  <c r="BM23"/>
  <c r="Z9"/>
  <c r="AK10"/>
  <c r="AN11"/>
  <c r="AQ12"/>
  <c r="BB13"/>
  <c r="BJ15"/>
  <c r="BM16"/>
  <c r="G18"/>
  <c r="G20"/>
  <c r="J21"/>
  <c r="U22"/>
  <c r="X23"/>
  <c r="X4"/>
  <c r="AA5"/>
  <c r="AL6"/>
  <c r="AO7"/>
  <c r="AO9"/>
  <c r="AR10"/>
  <c r="AU11"/>
  <c r="AX12"/>
  <c r="BI13"/>
  <c r="H16"/>
  <c r="K17"/>
  <c r="V18"/>
  <c r="AD20"/>
  <c r="AG21"/>
  <c r="AJ22"/>
  <c r="AM23"/>
  <c r="M13"/>
  <c r="AL18"/>
  <c r="AZ22"/>
  <c r="F15"/>
  <c r="AL17"/>
  <c r="BA16"/>
  <c r="J7"/>
  <c r="AA13"/>
  <c r="BC13"/>
  <c r="I5"/>
  <c r="BH15"/>
  <c r="BK6"/>
  <c r="AU15"/>
  <c r="Q6"/>
  <c r="AA6"/>
  <c r="AK18"/>
  <c r="AC6"/>
  <c r="K4"/>
  <c r="BG10"/>
  <c r="S6"/>
  <c r="AQ6"/>
  <c r="BK7"/>
  <c r="X7"/>
  <c r="AF9"/>
  <c r="P17"/>
  <c r="AO6"/>
  <c r="AW12"/>
  <c r="AQ18"/>
  <c r="U16"/>
  <c r="AD7"/>
  <c r="AH13"/>
  <c r="AB23"/>
  <c r="L5"/>
  <c r="BD12"/>
  <c r="AI20"/>
  <c r="AT16"/>
  <c r="AZ7"/>
  <c r="BD13"/>
  <c r="U20"/>
  <c r="AL23"/>
  <c r="AX22"/>
  <c r="G5"/>
  <c r="U7"/>
  <c r="AI11"/>
  <c r="AW13"/>
  <c r="AZ16"/>
  <c r="M21"/>
  <c r="AN20"/>
  <c r="F4"/>
  <c r="W6"/>
  <c r="AE9"/>
  <c r="BF15"/>
  <c r="Y17"/>
  <c r="BA18"/>
  <c r="BL6"/>
  <c r="BG7"/>
  <c r="BK16"/>
  <c r="AE6"/>
  <c r="AK12"/>
  <c r="AC18"/>
  <c r="R15"/>
  <c r="R7"/>
  <c r="T13"/>
  <c r="AG22"/>
  <c r="BJ4"/>
  <c r="AX10"/>
  <c r="U17"/>
  <c r="O10"/>
  <c r="BL5"/>
  <c r="AZ11"/>
  <c r="U18"/>
  <c r="S22"/>
  <c r="AM21"/>
  <c r="BH4"/>
  <c r="U9"/>
  <c r="AL12"/>
  <c r="AR16"/>
  <c r="AX18"/>
  <c r="K23"/>
  <c r="W22"/>
  <c r="AI21"/>
  <c r="J9"/>
  <c r="AA12"/>
  <c r="AW16"/>
  <c r="BC20"/>
  <c r="H4"/>
  <c r="Y7"/>
  <c r="AE11"/>
  <c r="BD16"/>
  <c r="Q21"/>
  <c r="F5"/>
  <c r="F6"/>
  <c r="O4"/>
  <c r="AC5"/>
  <c r="K13"/>
  <c r="AH4"/>
  <c r="T7"/>
  <c r="AB9"/>
  <c r="BD9"/>
  <c r="G15"/>
  <c r="Z5"/>
  <c r="V10"/>
  <c r="AI16"/>
  <c r="AX5"/>
  <c r="V11"/>
  <c r="Q17"/>
  <c r="BM6"/>
  <c r="AX11"/>
  <c r="BL17"/>
  <c r="AG6"/>
  <c r="AW11"/>
  <c r="AO18"/>
  <c r="W7"/>
  <c r="AV12"/>
  <c r="J15"/>
  <c r="AY16"/>
  <c r="AR18"/>
  <c r="AT4"/>
  <c r="T6"/>
  <c r="AU7"/>
  <c r="AQ10"/>
  <c r="X12"/>
  <c r="BL13"/>
  <c r="AK16"/>
  <c r="Q18"/>
  <c r="BM4"/>
  <c r="S7"/>
  <c r="BH13"/>
  <c r="J4"/>
  <c r="AH5"/>
  <c r="G7"/>
  <c r="AY9"/>
  <c r="AC11"/>
  <c r="H13"/>
  <c r="BC15"/>
  <c r="AV17"/>
  <c r="AL21"/>
  <c r="U12"/>
  <c r="AY20"/>
  <c r="AY4"/>
  <c r="O6"/>
  <c r="BB7"/>
  <c r="AL10"/>
  <c r="AE12"/>
  <c r="O15"/>
  <c r="H17"/>
  <c r="AW18"/>
  <c r="Y5"/>
  <c r="AZ9"/>
  <c r="BD15"/>
  <c r="AC4"/>
  <c r="BA5"/>
  <c r="AA7"/>
  <c r="BH9"/>
  <c r="AL11"/>
  <c r="AE13"/>
  <c r="O16"/>
  <c r="I18"/>
  <c r="L23"/>
  <c r="H21"/>
  <c r="K22"/>
  <c r="V23"/>
  <c r="AB20"/>
  <c r="AE21"/>
  <c r="AH22"/>
  <c r="AS23"/>
  <c r="AZ4"/>
  <c r="BC5"/>
  <c r="BF6"/>
  <c r="M9"/>
  <c r="P10"/>
  <c r="S11"/>
  <c r="AD12"/>
  <c r="AG13"/>
  <c r="AG15"/>
  <c r="AJ16"/>
  <c r="AM17"/>
  <c r="AP18"/>
  <c r="AX20"/>
  <c r="BI21"/>
  <c r="BL22"/>
  <c r="I20"/>
  <c r="L21"/>
  <c r="O22"/>
  <c r="R23"/>
  <c r="X20"/>
  <c r="AA21"/>
  <c r="AL22"/>
  <c r="AO23"/>
  <c r="BF7"/>
  <c r="M10"/>
  <c r="P11"/>
  <c r="S12"/>
  <c r="AD13"/>
  <c r="AL15"/>
  <c r="AO16"/>
  <c r="AR17"/>
  <c r="AU18"/>
  <c r="AU20"/>
  <c r="AX21"/>
  <c r="BI22"/>
  <c r="BL23"/>
  <c r="BL4"/>
  <c r="N6"/>
  <c r="Q7"/>
  <c r="Q9"/>
  <c r="T10"/>
  <c r="W11"/>
  <c r="Z12"/>
  <c r="AK13"/>
  <c r="AS15"/>
  <c r="AV16"/>
  <c r="AY17"/>
  <c r="BJ18"/>
  <c r="I21"/>
  <c r="L22"/>
  <c r="O23"/>
  <c r="BK11"/>
  <c r="AA17"/>
  <c r="AW21"/>
  <c r="AM12"/>
  <c r="U6"/>
  <c r="P18"/>
  <c r="I22"/>
  <c r="AR9"/>
  <c r="AZ13"/>
  <c r="J16"/>
  <c r="AL5"/>
  <c r="AH11"/>
  <c r="BJ21"/>
  <c r="BA4"/>
  <c r="BG13"/>
  <c r="F16"/>
  <c r="AR23"/>
  <c r="AN13"/>
  <c r="Y11"/>
  <c r="Y12"/>
  <c r="BA12"/>
  <c r="AZ12"/>
  <c r="AX13"/>
  <c r="K20"/>
  <c r="P9"/>
  <c r="T15"/>
  <c r="AJ5"/>
  <c r="AE4"/>
  <c r="N10"/>
  <c r="L18"/>
  <c r="AO22"/>
  <c r="W9"/>
  <c r="AN15"/>
  <c r="G6"/>
  <c r="AX4"/>
  <c r="W10"/>
  <c r="AP16"/>
  <c r="X21"/>
  <c r="AU21"/>
  <c r="AC9"/>
  <c r="AH23"/>
  <c r="F11"/>
  <c r="AB18"/>
  <c r="AJ11"/>
  <c r="AZ5"/>
  <c r="L6"/>
  <c r="AF7"/>
  <c r="AS18"/>
  <c r="N21"/>
  <c r="W15"/>
  <c r="BE4"/>
  <c r="BE10"/>
  <c r="AX16"/>
  <c r="AR7"/>
  <c r="AS5"/>
  <c r="AP11"/>
  <c r="BI17"/>
  <c r="AT21"/>
  <c r="K9"/>
  <c r="AA15"/>
  <c r="AT5"/>
  <c r="AM4"/>
  <c r="J10"/>
  <c r="AC16"/>
  <c r="P21"/>
  <c r="AJ20"/>
  <c r="BA23"/>
  <c r="M7"/>
  <c r="AA11"/>
  <c r="AO15"/>
  <c r="BF20"/>
  <c r="Q20"/>
  <c r="Z23"/>
  <c r="AT22"/>
  <c r="U10"/>
  <c r="AL13"/>
  <c r="AZ17"/>
  <c r="BF21"/>
  <c r="K5"/>
  <c r="Y9"/>
  <c r="AS13"/>
  <c r="BG17"/>
  <c r="T22"/>
  <c r="F7"/>
  <c r="F23"/>
  <c r="S15"/>
  <c r="M4"/>
  <c r="BI5"/>
  <c r="T18"/>
  <c r="S20"/>
  <c r="N7"/>
  <c r="T9"/>
  <c r="AJ13"/>
  <c r="BF4"/>
  <c r="BB9"/>
  <c r="AX15"/>
  <c r="T5"/>
  <c r="BC10"/>
  <c r="AA16"/>
  <c r="AN6"/>
  <c r="T11"/>
  <c r="M17"/>
  <c r="H6"/>
  <c r="L11"/>
  <c r="BD17"/>
  <c r="BI6"/>
  <c r="M12"/>
  <c r="AG18"/>
  <c r="AL16"/>
  <c r="AF18"/>
  <c r="AI4"/>
  <c r="I6"/>
  <c r="AI7"/>
  <c r="AE10"/>
  <c r="L12"/>
  <c r="AY13"/>
  <c r="W16"/>
  <c r="BM17"/>
  <c r="AQ4"/>
  <c r="BH6"/>
  <c r="AI13"/>
  <c r="AZ18"/>
  <c r="X5"/>
  <c r="BG6"/>
  <c r="AL9"/>
  <c r="Q11"/>
  <c r="BE12"/>
  <c r="AP15"/>
  <c r="AH17"/>
  <c r="AQ20"/>
  <c r="AD11"/>
  <c r="BM18"/>
  <c r="AO4"/>
  <c r="BM5"/>
  <c r="AN7"/>
  <c r="Y10"/>
  <c r="Q12"/>
  <c r="BF13"/>
  <c r="BC16"/>
  <c r="AJ18"/>
  <c r="BB4"/>
  <c r="N9"/>
  <c r="AE15"/>
  <c r="R4"/>
  <c r="AP5"/>
  <c r="O7"/>
  <c r="AU9"/>
  <c r="Z11"/>
  <c r="R13"/>
  <c r="BL15"/>
  <c r="BE17"/>
  <c r="Q22"/>
  <c r="BI20"/>
  <c r="BL21"/>
  <c r="N23"/>
  <c r="T20"/>
  <c r="W21"/>
  <c r="Z22"/>
  <c r="AK23"/>
  <c r="AR4"/>
  <c r="AU5"/>
  <c r="AX6"/>
  <c r="BI7"/>
  <c r="H10"/>
  <c r="K11"/>
  <c r="V12"/>
  <c r="Y13"/>
  <c r="Y15"/>
  <c r="AB16"/>
  <c r="AE17"/>
  <c r="AH18"/>
  <c r="AP20"/>
  <c r="BA21"/>
  <c r="BD22"/>
  <c r="BG23"/>
  <c r="BM20"/>
  <c r="G22"/>
  <c r="J23"/>
  <c r="P20"/>
  <c r="S21"/>
  <c r="AD22"/>
  <c r="AG23"/>
  <c r="AX7"/>
  <c r="BF9"/>
  <c r="H11"/>
  <c r="K12"/>
  <c r="V13"/>
  <c r="AD15"/>
  <c r="AG16"/>
  <c r="AJ17"/>
  <c r="AM18"/>
  <c r="AM20"/>
  <c r="AP21"/>
  <c r="BA22"/>
  <c r="BD23"/>
  <c r="BD4"/>
  <c r="BG5"/>
  <c r="I7"/>
  <c r="I9"/>
  <c r="L10"/>
  <c r="O11"/>
  <c r="R12"/>
  <c r="AC13"/>
  <c r="AK15"/>
  <c r="AN16"/>
  <c r="AQ17"/>
  <c r="BB18"/>
  <c r="BJ20"/>
  <c r="BM21"/>
  <c r="G23"/>
  <c r="X16"/>
  <c r="AT20"/>
  <c r="BC23"/>
  <c r="F9"/>
  <c r="BF5"/>
  <c r="BJ11"/>
  <c r="AB12"/>
  <c r="R5"/>
  <c r="AU4"/>
  <c r="AP10"/>
  <c r="AO17"/>
  <c r="AQ9"/>
  <c r="Z17"/>
  <c r="BE11"/>
  <c r="BC7"/>
  <c r="BL9"/>
  <c r="F20"/>
  <c r="AY7"/>
  <c r="AK11"/>
  <c r="AM16"/>
  <c r="H18"/>
  <c r="W4"/>
  <c r="BB21"/>
  <c r="Q4"/>
  <c r="AI15"/>
  <c r="Q5"/>
  <c r="I11"/>
  <c r="BJ16"/>
  <c r="AA9"/>
  <c r="BD5"/>
  <c r="BB11"/>
  <c r="AE16"/>
  <c r="AV13"/>
  <c r="AJ6"/>
  <c r="BK10"/>
  <c r="AG17"/>
  <c r="AO10"/>
  <c r="M6"/>
  <c r="BM11"/>
  <c r="AI18"/>
  <c r="AA22"/>
  <c r="AR20"/>
  <c r="BI23"/>
  <c r="J6"/>
  <c r="AF10"/>
  <c r="AT12"/>
  <c r="AW15"/>
  <c r="BC17"/>
  <c r="BF18"/>
  <c r="P22"/>
  <c r="S23"/>
  <c r="Y20"/>
  <c r="AB21"/>
  <c r="AE22"/>
  <c r="AQ21"/>
  <c r="BB22"/>
  <c r="BE23"/>
  <c r="R9"/>
  <c r="AC10"/>
  <c r="AF11"/>
  <c r="AI12"/>
  <c r="AT13"/>
  <c r="BB15"/>
  <c r="BE16"/>
  <c r="BH17"/>
  <c r="BK18"/>
  <c r="BK20"/>
  <c r="M22"/>
  <c r="P23"/>
  <c r="P4"/>
  <c r="S5"/>
  <c r="AD6"/>
  <c r="AG7"/>
  <c r="AG9"/>
  <c r="AJ10"/>
  <c r="AM11"/>
  <c r="AP12"/>
  <c r="BA13"/>
  <c r="BI15"/>
  <c r="BL16"/>
  <c r="N18"/>
  <c r="V20"/>
  <c r="Y21"/>
  <c r="AB22"/>
  <c r="AE23"/>
  <c r="AD5"/>
  <c r="BA6"/>
  <c r="AD10"/>
  <c r="BF10"/>
  <c r="BF11"/>
  <c r="W12"/>
  <c r="O12"/>
  <c r="O13"/>
  <c r="BE18"/>
  <c r="BH7"/>
  <c r="H15"/>
  <c r="N5"/>
  <c r="U4"/>
  <c r="BK9"/>
  <c r="S16"/>
  <c r="J13"/>
  <c r="Y6"/>
  <c r="AR12"/>
  <c r="BI18"/>
  <c r="G16"/>
  <c r="AM7"/>
  <c r="AQ13"/>
  <c r="M20"/>
  <c r="AD23"/>
  <c r="AP22"/>
  <c r="BK5"/>
  <c r="X10"/>
  <c r="AO13"/>
  <c r="AU17"/>
  <c r="H22"/>
  <c r="T21"/>
  <c r="AF20"/>
  <c r="AW23"/>
  <c r="X11"/>
  <c r="AT15"/>
  <c r="BC18"/>
  <c r="H23"/>
  <c r="V6"/>
  <c r="AB10"/>
  <c r="AH12"/>
  <c r="BA15"/>
  <c r="N20"/>
  <c r="W23"/>
  <c r="F22"/>
  <c r="F12"/>
  <c r="AN12"/>
  <c r="AP17"/>
  <c r="AL4"/>
  <c r="BK15"/>
  <c r="BG9"/>
  <c r="BJ5"/>
  <c r="AT7"/>
  <c r="BM12"/>
  <c r="AA4"/>
  <c r="S9"/>
  <c r="AB13"/>
  <c r="BC4"/>
  <c r="S10"/>
  <c r="AR15"/>
  <c r="K6"/>
  <c r="AU10"/>
  <c r="V16"/>
  <c r="AO5"/>
  <c r="AT10"/>
  <c r="N16"/>
  <c r="AF6"/>
  <c r="AS11"/>
  <c r="AX17"/>
  <c r="Z16"/>
  <c r="S18"/>
  <c r="Y4"/>
  <c r="BH5"/>
  <c r="V7"/>
  <c r="R10"/>
  <c r="BH11"/>
  <c r="AM13"/>
  <c r="K16"/>
  <c r="BA17"/>
  <c r="AZ23"/>
  <c r="AW6"/>
  <c r="AU12"/>
  <c r="M18"/>
  <c r="M5"/>
  <c r="AV6"/>
  <c r="X9"/>
  <c r="BM10"/>
  <c r="AS12"/>
  <c r="AB15"/>
  <c r="V17"/>
  <c r="BL18"/>
  <c r="BB10"/>
  <c r="AA18"/>
  <c r="AD4"/>
  <c r="BB5"/>
  <c r="AB7"/>
  <c r="K10"/>
  <c r="BA11"/>
  <c r="AR13"/>
  <c r="AQ16"/>
  <c r="X18"/>
  <c r="AG4"/>
  <c r="BD7"/>
  <c r="W13"/>
  <c r="G4"/>
  <c r="AF5"/>
  <c r="BD6"/>
  <c r="AI9"/>
  <c r="M11"/>
  <c r="BC12"/>
  <c r="AY15"/>
  <c r="AS17"/>
  <c r="V21"/>
  <c r="BA20"/>
  <c r="BD21"/>
  <c r="BG22"/>
  <c r="L20"/>
  <c r="O21"/>
  <c r="R22"/>
  <c r="AC23"/>
  <c r="AJ4"/>
  <c r="AM5"/>
  <c r="AP6"/>
  <c r="BA7"/>
  <c r="BI9"/>
  <c r="BL10"/>
  <c r="N12"/>
  <c r="Q13"/>
  <c r="Q15"/>
  <c r="T16"/>
  <c r="W17"/>
  <c r="Z18"/>
  <c r="AH20"/>
  <c r="AS21"/>
  <c r="AV22"/>
  <c r="AY23"/>
  <c r="BE20"/>
  <c r="BH21"/>
  <c r="BK22"/>
  <c r="H20"/>
  <c r="K21"/>
  <c r="V22"/>
  <c r="Y23"/>
  <c r="AP7"/>
  <c r="AX9"/>
  <c r="BI10"/>
  <c r="BL11"/>
  <c r="N13"/>
  <c r="V15"/>
  <c r="Y16"/>
  <c r="AB17"/>
  <c r="AE18"/>
  <c r="AE20"/>
  <c r="AH21"/>
  <c r="AS22"/>
  <c r="AV23"/>
  <c r="AV4"/>
  <c r="AY5"/>
  <c r="BJ6"/>
  <c r="BM7"/>
  <c r="BM9"/>
  <c r="G11"/>
  <c r="J12"/>
  <c r="U13"/>
  <c r="AC15"/>
  <c r="AF16"/>
  <c r="AI17"/>
  <c r="AT18"/>
  <c r="BB20"/>
  <c r="BE21"/>
  <c r="BH22"/>
  <c r="BK23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<sst xmlns="http://schemas.openxmlformats.org/spreadsheetml/2006/main" count="31" uniqueCount="31">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</sst>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RECFTDMH Index</stp>
        <stp>PR005</stp>
        <stp>-60CQ</stp>
        <stp>2018/3/14</stp>
        <stp>[BI_APTRN_1.xlsx]ReferenceData!R57C6</stp>
        <stp>Per=CQ</stp>
        <stp>Dts=H</stp>
        <stp>Dir=H</stp>
        <stp>Points=60</stp>
        <stp>Sort=R</stp>
        <stp>Days=A</stp>
        <stp>Fill=B</stp>
        <stp>FX=USD</stp>
        <tr r="F57" s="3"/>
      </tp>
      <tp t="s">
        <v>#N/A Authorization</v>
        <stp/>
        <stp>##V3_BDHV12</stp>
        <stp>RECFSSMH Index</stp>
        <stp>PR005</stp>
        <stp>-60CQ</stp>
        <stp>2018/3/14</stp>
        <stp>[BI_APTRN_1.xlsx]ReferenceData!R56C6</stp>
        <stp>Per=CQ</stp>
        <stp>Dts=H</stp>
        <stp>Dir=H</stp>
        <stp>Points=60</stp>
        <stp>Sort=R</stp>
        <stp>Days=A</stp>
        <stp>Fill=B</stp>
        <stp>FX=USD</stp>
        <tr r="F56" s="3"/>
      </tp>
      <tp t="s">
        <v>#N/A Authorization</v>
        <stp/>
        <stp>##V3_BDHV12</stp>
        <stp>RECFFOMH Index</stp>
        <stp>PR005</stp>
        <stp>-60CQ</stp>
        <stp>2018/3/14</stp>
        <stp>[BI_APTRN_1.xlsx]ReferenceData!R54C6</stp>
        <stp>Per=CQ</stp>
        <stp>Dts=H</stp>
        <stp>Dir=H</stp>
        <stp>Points=60</stp>
        <stp>Sort=R</stp>
        <stp>Days=A</stp>
        <stp>Fill=B</stp>
        <stp>FX=USD</stp>
        <tr r="F54" s="3"/>
      </tp>
      <tp t="s">
        <v>#N/A Authorization</v>
        <stp/>
        <stp>##V3_BDHV12</stp>
        <stp>RECFNOMH Index</stp>
        <stp>PR005</stp>
        <stp>-60CQ</stp>
        <stp>2018/3/14</stp>
        <stp>[BI_APTRN_1.xlsx]ReferenceData!R55C6</stp>
        <stp>Per=CQ</stp>
        <stp>Dts=H</stp>
        <stp>Dir=H</stp>
        <stp>Points=60</stp>
        <stp>Sort=R</stp>
        <stp>Days=A</stp>
        <stp>Fill=B</stp>
        <stp>FX=USD</stp>
        <tr r="F55" s="3"/>
      </tp>
      <tp t="s">
        <v>#N/A Authorization</v>
        <stp/>
        <stp>##V3_BDHV12</stp>
        <stp>RECFTDSF Index</stp>
        <stp>PR005</stp>
        <stp>-60CQ</stp>
        <stp>2018/3/14</stp>
        <stp>[BI_APTRN_1.xlsx]ReferenceData!R53C6</stp>
        <stp>Per=CQ</stp>
        <stp>Dts=H</stp>
        <stp>Dir=H</stp>
        <stp>Points=60</stp>
        <stp>Sort=R</stp>
        <stp>Days=A</stp>
        <stp>Fill=B</stp>
        <stp>FX=USD</stp>
        <tr r="F53" s="3"/>
      </tp>
      <tp t="s">
        <v>#N/A Authorization</v>
        <stp/>
        <stp>##V3_BDHV12</stp>
        <stp>RECFSSSF Index</stp>
        <stp>PR005</stp>
        <stp>-60CQ</stp>
        <stp>2018/3/14</stp>
        <stp>[BI_APTRN_1.xlsx]ReferenceData!R52C6</stp>
        <stp>Per=CQ</stp>
        <stp>Dts=H</stp>
        <stp>Dir=H</stp>
        <stp>Points=60</stp>
        <stp>Sort=R</stp>
        <stp>Days=A</stp>
        <stp>Fill=B</stp>
        <stp>FX=USD</stp>
        <tr r="F52" s="3"/>
      </tp>
      <tp t="s">
        <v>#N/A Authorization</v>
        <stp/>
        <stp>##V3_BDHV12</stp>
        <stp>RECFFOSF Index</stp>
        <stp>PR005</stp>
        <stp>-60CQ</stp>
        <stp>2018/3/14</stp>
        <stp>[BI_APTRN_1.xlsx]ReferenceData!R50C6</stp>
        <stp>Per=CQ</stp>
        <stp>Dts=H</stp>
        <stp>Dir=H</stp>
        <stp>Points=60</stp>
        <stp>Sort=R</stp>
        <stp>Days=A</stp>
        <stp>Fill=B</stp>
        <stp>FX=USD</stp>
        <tr r="F50" s="3"/>
      </tp>
      <tp t="s">
        <v>#N/A Authorization</v>
        <stp/>
        <stp>##V3_BDHV12</stp>
        <stp>RECFNOSF Index</stp>
        <stp>PR005</stp>
        <stp>-60CQ</stp>
        <stp>2018/3/14</stp>
        <stp>[BI_APTRN_1.xlsx]ReferenceData!R51C6</stp>
        <stp>Per=CQ</stp>
        <stp>Dts=H</stp>
        <stp>Dir=H</stp>
        <stp>Points=60</stp>
        <stp>Sort=R</stp>
        <stp>Days=A</stp>
        <stp>Fill=B</stp>
        <stp>FX=USD</stp>
        <tr r="F51" s="3"/>
      </tp>
      <tp t="s">
        <v>#N/A Authorization</v>
        <stp/>
        <stp>##V3_BDHV12</stp>
        <stp>RECFTDRS Index</stp>
        <stp>PR005</stp>
        <stp>-60CQ</stp>
        <stp>2018/3/14</stp>
        <stp>[BI_APTRN_1.xlsx]ReferenceData!R44C6</stp>
        <stp>Per=CQ</stp>
        <stp>Dts=H</stp>
        <stp>Dir=H</stp>
        <stp>Points=60</stp>
        <stp>Sort=R</stp>
        <stp>Days=A</stp>
        <stp>Fill=B</stp>
        <stp>FX=USD</stp>
        <tr r="F44" s="3"/>
      </tp>
      <tp t="s">
        <v>#N/A Authorization</v>
        <stp/>
        <stp>##V3_BDHV12</stp>
        <stp>RECFSSRS Index</stp>
        <stp>PR005</stp>
        <stp>-60CQ</stp>
        <stp>2018/3/14</stp>
        <stp>[BI_APTRN_1.xlsx]ReferenceData!R43C6</stp>
        <stp>Per=CQ</stp>
        <stp>Dts=H</stp>
        <stp>Dir=H</stp>
        <stp>Points=60</stp>
        <stp>Sort=R</stp>
        <stp>Days=A</stp>
        <stp>Fill=B</stp>
        <stp>FX=USD</stp>
        <tr r="F43" s="3"/>
      </tp>
      <tp t="s">
        <v>#N/A Authorization</v>
        <stp/>
        <stp>##V3_BDHV12</stp>
        <stp>RECFFORS Index</stp>
        <stp>PR005</stp>
        <stp>-60CQ</stp>
        <stp>2018/3/14</stp>
        <stp>[BI_APTRN_1.xlsx]ReferenceData!R41C6</stp>
        <stp>Per=CQ</stp>
        <stp>Dts=H</stp>
        <stp>Dir=H</stp>
        <stp>Points=60</stp>
        <stp>Sort=R</stp>
        <stp>Days=A</stp>
        <stp>Fill=B</stp>
        <stp>FX=USD</stp>
        <tr r="F41" s="3"/>
      </tp>
      <tp t="s">
        <v>#N/A Authorization</v>
        <stp/>
        <stp>##V3_BDHV12</stp>
        <stp>RECFNORS Index</stp>
        <stp>PR005</stp>
        <stp>-60CQ</stp>
        <stp>2018/3/14</stp>
        <stp>[BI_APTRN_1.xlsx]ReferenceData!R42C6</stp>
        <stp>Per=CQ</stp>
        <stp>Dts=H</stp>
        <stp>Dir=H</stp>
        <stp>Points=60</stp>
        <stp>Sort=R</stp>
        <stp>Days=A</stp>
        <stp>Fill=B</stp>
        <stp>FX=USD</stp>
        <tr r="F42" s="3"/>
      </tp>
      <tp t="s">
        <v>#N/A Authorization</v>
        <stp/>
        <stp>##V3_BDHV12</stp>
        <stp>RECFTDAP Index</stp>
        <stp>PR005</stp>
        <stp>-60CQ</stp>
        <stp>2018/3/14</stp>
        <stp>[BI_APTRN_1.xlsx]ReferenceData!R48C6</stp>
        <stp>Per=CQ</stp>
        <stp>Dts=H</stp>
        <stp>Dir=H</stp>
        <stp>Points=60</stp>
        <stp>Sort=R</stp>
        <stp>Days=A</stp>
        <stp>Fill=B</stp>
        <stp>FX=USD</stp>
        <tr r="F48" s="3"/>
      </tp>
      <tp t="s">
        <v>#N/A Authorization</v>
        <stp/>
        <stp>##V3_BDHV12</stp>
        <stp>RECFSSAP Index</stp>
        <stp>PR005</stp>
        <stp>-60CQ</stp>
        <stp>2018/3/14</stp>
        <stp>[BI_APTRN_1.xlsx]ReferenceData!R47C6</stp>
        <stp>Per=CQ</stp>
        <stp>Dts=H</stp>
        <stp>Dir=H</stp>
        <stp>Points=60</stp>
        <stp>Sort=R</stp>
        <stp>Days=A</stp>
        <stp>Fill=B</stp>
        <stp>FX=USD</stp>
        <tr r="F47" s="3"/>
      </tp>
      <tp t="s">
        <v>#N/A Authorization</v>
        <stp/>
        <stp>##V3_BDHV12</stp>
        <stp>RECFFOAP Index</stp>
        <stp>PR005</stp>
        <stp>-60CQ</stp>
        <stp>2018/3/14</stp>
        <stp>[BI_APTRN_1.xlsx]ReferenceData!R45C6</stp>
        <stp>Per=CQ</stp>
        <stp>Dts=H</stp>
        <stp>Dir=H</stp>
        <stp>Points=60</stp>
        <stp>Sort=R</stp>
        <stp>Days=A</stp>
        <stp>Fill=B</stp>
        <stp>FX=USD</stp>
        <tr r="F45" s="3"/>
      </tp>
      <tp t="s">
        <v>#N/A Authorization</v>
        <stp/>
        <stp>##V3_BDHV12</stp>
        <stp>RECFAVAP Index</stp>
        <stp>PR005</stp>
        <stp>-60CQ</stp>
        <stp>2018/3/14</stp>
        <stp>[BI_APTRN_1.xlsx]ReferenceData!R49C6</stp>
        <stp>Per=CQ</stp>
        <stp>Dts=H</stp>
        <stp>Dir=H</stp>
        <stp>Points=60</stp>
        <stp>Sort=R</stp>
        <stp>Days=A</stp>
        <stp>Fill=B</stp>
        <stp>FX=USD</stp>
        <tr r="F49" s="3"/>
      </tp>
      <tp t="s">
        <v>#N/A Authorization</v>
        <stp/>
        <stp>##V3_BDHV12</stp>
        <stp>RECFNOAP Index</stp>
        <stp>PR005</stp>
        <stp>-60CQ</stp>
        <stp>2018/3/14</stp>
        <stp>[BI_APTRN_1.xlsx]ReferenceData!R46C6</stp>
        <stp>Per=CQ</stp>
        <stp>Dts=H</stp>
        <stp>Dir=H</stp>
        <stp>Points=60</stp>
        <stp>Sort=R</stp>
        <stp>Days=A</stp>
        <stp>Fill=B</stp>
        <stp>FX=USD</stp>
        <tr r="F46" s="3"/>
      </tp>
    </main>
    <main first="bloomberg.ccyreader">
      <tp>
        <v>0</v>
        <stp/>
        <stp>#track</stp>
        <stp>DBG</stp>
        <stp>BIHITX</stp>
        <stp>1.0</stp>
        <stp>RepeatHit</stp>
        <tr r="A33" s="3"/>
      </tp>
    </main>
    <main first="bloomberg.rtd">
      <tp t="s">
        <v>#N/A Authorization</v>
        <stp/>
        <stp>##V3_BDHV12</stp>
        <stp>RECFSSRS Index</stp>
        <stp>PR005</stp>
        <stp>-60CQ</stp>
        <stp>2018/3/14</stp>
        <stp>[BI_APTRN_1.xlsx]ReferenceData!R82C3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82" s="3"/>
      </tp>
      <tp t="s">
        <v>#N/A Authorization</v>
        <stp/>
        <stp>##V3_BDHV12</stp>
        <stp>RECFFORS Index</stp>
        <stp>PR005</stp>
        <stp>-60CQ</stp>
        <stp>2018/3/14</stp>
        <stp>[BI_APTRN_1.xlsx]ReferenceData!R78C3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8" s="3"/>
      </tp>
      <tp t="s">
        <v>#N/A Authorization</v>
        <stp/>
        <stp>##V3_BDHV12</stp>
        <stp>RECFNORS Index</stp>
        <stp>PR005</stp>
        <stp>-60CQ</stp>
        <stp>2018/3/14</stp>
        <stp>[BI_APTRN_1.xlsx]ReferenceData!R80C3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80" s="3"/>
      </tp>
      <tp t="s">
        <v>#N/A Authorization</v>
        <stp/>
        <stp>##V3_BDHV12</stp>
        <stp>RECFSSRS Index</stp>
        <stp>PR005</stp>
        <stp>-60CQ</stp>
        <stp>2018/3/13</stp>
        <stp>[BI_APTRN_1.xlsx]ReferenceData!R74C3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4" s="3"/>
      </tp>
      <tp t="s">
        <v>#N/A Authorization</v>
        <stp/>
        <stp>##V3_BDHV12</stp>
        <stp>RECFFORS Index</stp>
        <stp>PR005</stp>
        <stp>-60CQ</stp>
        <stp>2018/3/13</stp>
        <stp>[BI_APTRN_1.xlsx]ReferenceData!R70C3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0" s="3"/>
      </tp>
      <tp t="s">
        <v>#N/A Authorization</v>
        <stp/>
        <stp>##V3_BDHV12</stp>
        <stp>RECFNORS Index</stp>
        <stp>PR005</stp>
        <stp>-60CQ</stp>
        <stp>2018/3/13</stp>
        <stp>[BI_APTRN_1.xlsx]ReferenceData!R72C3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7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3"/>
  <sheetViews>
    <sheetView tabSelected="1" workbookViewId="0">
      <selection activeCell="G28" sqref="G28"/>
    </sheetView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2017 Q4</v>
      </c>
      <c r="G2" t="str">
        <f>IFERROR(IF(0=LEN(ReferenceData!$G$2),"",ReferenceData!$G$2),"")</f>
        <v>2017 Q3</v>
      </c>
      <c r="H2" t="str">
        <f>IFERROR(IF(0=LEN(ReferenceData!$H$2),"",ReferenceData!$H$2),"")</f>
        <v>2017 Q2</v>
      </c>
      <c r="I2" t="str">
        <f>IFERROR(IF(0=LEN(ReferenceData!$I$2),"",ReferenceData!$I$2),"")</f>
        <v>2017 Q1</v>
      </c>
      <c r="J2" t="str">
        <f>IFERROR(IF(0=LEN(ReferenceData!$J$2),"",ReferenceData!$J$2),"")</f>
        <v>2016 Q4</v>
      </c>
      <c r="K2" t="str">
        <f>IFERROR(IF(0=LEN(ReferenceData!$K$2),"",ReferenceData!$K$2),"")</f>
        <v>2016 Q3</v>
      </c>
      <c r="L2" t="str">
        <f>IFERROR(IF(0=LEN(ReferenceData!$L$2),"",ReferenceData!$L$2),"")</f>
        <v>2016 Q2</v>
      </c>
      <c r="M2" t="str">
        <f>IFERROR(IF(0=LEN(ReferenceData!$M$2),"",ReferenceData!$M$2),"")</f>
        <v>2016 Q1</v>
      </c>
      <c r="N2" t="str">
        <f>IFERROR(IF(0=LEN(ReferenceData!$N$2),"",ReferenceData!$N$2),"")</f>
        <v>2015 Q4</v>
      </c>
      <c r="O2" t="str">
        <f>IFERROR(IF(0=LEN(ReferenceData!$O$2),"",ReferenceData!$O$2),"")</f>
        <v>2015 Q3</v>
      </c>
      <c r="P2" t="str">
        <f>IFERROR(IF(0=LEN(ReferenceData!$P$2),"",ReferenceData!$P$2),"")</f>
        <v>2015 Q2</v>
      </c>
      <c r="Q2" t="str">
        <f>IFERROR(IF(0=LEN(ReferenceData!$Q$2),"",ReferenceData!$Q$2),"")</f>
        <v>2015 Q1</v>
      </c>
      <c r="R2" t="str">
        <f>IFERROR(IF(0=LEN(ReferenceData!$R$2),"",ReferenceData!$R$2),"")</f>
        <v>2014 Q4</v>
      </c>
      <c r="S2" t="str">
        <f>IFERROR(IF(0=LEN(ReferenceData!$S$2),"",ReferenceData!$S$2),"")</f>
        <v>2014 Q3</v>
      </c>
      <c r="T2" t="str">
        <f>IFERROR(IF(0=LEN(ReferenceData!$T$2),"",ReferenceData!$T$2),"")</f>
        <v>2014 Q2</v>
      </c>
      <c r="U2" t="str">
        <f>IFERROR(IF(0=LEN(ReferenceData!$U$2),"",ReferenceData!$U$2),"")</f>
        <v>2014 Q1</v>
      </c>
      <c r="V2" t="str">
        <f>IFERROR(IF(0=LEN(ReferenceData!$V$2),"",ReferenceData!$V$2),"")</f>
        <v>2013 Q4</v>
      </c>
      <c r="W2" t="str">
        <f>IFERROR(IF(0=LEN(ReferenceData!$W$2),"",ReferenceData!$W$2),"")</f>
        <v>2013 Q3</v>
      </c>
      <c r="X2" t="str">
        <f>IFERROR(IF(0=LEN(ReferenceData!$X$2),"",ReferenceData!$X$2),"")</f>
        <v>2013 Q2</v>
      </c>
      <c r="Y2" t="str">
        <f>IFERROR(IF(0=LEN(ReferenceData!$Y$2),"",ReferenceData!$Y$2),"")</f>
        <v>2013 Q1</v>
      </c>
      <c r="Z2" t="str">
        <f>IFERROR(IF(0=LEN(ReferenceData!$Z$2),"",ReferenceData!$Z$2),"")</f>
        <v>2012 Q4</v>
      </c>
      <c r="AA2" t="str">
        <f>IFERROR(IF(0=LEN(ReferenceData!$AA$2),"",ReferenceData!$AA$2),"")</f>
        <v>2012 Q3</v>
      </c>
      <c r="AB2" t="str">
        <f>IFERROR(IF(0=LEN(ReferenceData!$AB$2),"",ReferenceData!$AB$2),"")</f>
        <v>2012 Q2</v>
      </c>
      <c r="AC2" t="str">
        <f>IFERROR(IF(0=LEN(ReferenceData!$AC$2),"",ReferenceData!$AC$2),"")</f>
        <v>2012 Q1</v>
      </c>
      <c r="AD2" t="str">
        <f>IFERROR(IF(0=LEN(ReferenceData!$AD$2),"",ReferenceData!$AD$2),"")</f>
        <v>2011 Q4</v>
      </c>
      <c r="AE2" t="str">
        <f>IFERROR(IF(0=LEN(ReferenceData!$AE$2),"",ReferenceData!$AE$2),"")</f>
        <v>2011 Q3</v>
      </c>
      <c r="AF2" t="str">
        <f>IFERROR(IF(0=LEN(ReferenceData!$AF$2),"",ReferenceData!$AF$2),"")</f>
        <v>2011 Q2</v>
      </c>
      <c r="AG2" t="str">
        <f>IFERROR(IF(0=LEN(ReferenceData!$AG$2),"",ReferenceData!$AG$2),"")</f>
        <v>2011 Q1</v>
      </c>
      <c r="AH2" t="str">
        <f>IFERROR(IF(0=LEN(ReferenceData!$AH$2),"",ReferenceData!$AH$2),"")</f>
        <v>2010 Q4</v>
      </c>
      <c r="AI2" t="str">
        <f>IFERROR(IF(0=LEN(ReferenceData!$AI$2),"",ReferenceData!$AI$2),"")</f>
        <v>2010 Q3</v>
      </c>
      <c r="AJ2" t="str">
        <f>IFERROR(IF(0=LEN(ReferenceData!$AJ$2),"",ReferenceData!$AJ$2),"")</f>
        <v>2010 Q2</v>
      </c>
      <c r="AK2" t="str">
        <f>IFERROR(IF(0=LEN(ReferenceData!$AK$2),"",ReferenceData!$AK$2),"")</f>
        <v>2010 Q1</v>
      </c>
      <c r="AL2" t="str">
        <f>IFERROR(IF(0=LEN(ReferenceData!$AL$2),"",ReferenceData!$AL$2),"")</f>
        <v>2009 Q4</v>
      </c>
      <c r="AM2" t="str">
        <f>IFERROR(IF(0=LEN(ReferenceData!$AM$2),"",ReferenceData!$AM$2),"")</f>
        <v>2009 Q3</v>
      </c>
      <c r="AN2" t="str">
        <f>IFERROR(IF(0=LEN(ReferenceData!$AN$2),"",ReferenceData!$AN$2),"")</f>
        <v>2009 Q2</v>
      </c>
      <c r="AO2" t="str">
        <f>IFERROR(IF(0=LEN(ReferenceData!$AO$2),"",ReferenceData!$AO$2),"")</f>
        <v>2009 Q1</v>
      </c>
      <c r="AP2" t="str">
        <f>IFERROR(IF(0=LEN(ReferenceData!$AP$2),"",ReferenceData!$AP$2),"")</f>
        <v>2008 Q4</v>
      </c>
      <c r="AQ2" t="str">
        <f>IFERROR(IF(0=LEN(ReferenceData!$AQ$2),"",ReferenceData!$AQ$2),"")</f>
        <v>2008 Q3</v>
      </c>
      <c r="AR2" t="str">
        <f>IFERROR(IF(0=LEN(ReferenceData!$AR$2),"",ReferenceData!$AR$2),"")</f>
        <v>2008 Q2</v>
      </c>
      <c r="AS2" t="str">
        <f>IFERROR(IF(0=LEN(ReferenceData!$AS$2),"",ReferenceData!$AS$2),"")</f>
        <v>2008 Q1</v>
      </c>
      <c r="AT2" t="str">
        <f>IFERROR(IF(0=LEN(ReferenceData!$AT$2),"",ReferenceData!$AT$2),"")</f>
        <v>2007 Q4</v>
      </c>
      <c r="AU2" t="str">
        <f>IFERROR(IF(0=LEN(ReferenceData!$AU$2),"",ReferenceData!$AU$2),"")</f>
        <v>2007 Q3</v>
      </c>
      <c r="AV2" t="str">
        <f>IFERROR(IF(0=LEN(ReferenceData!$AV$2),"",ReferenceData!$AV$2),"")</f>
        <v>2007 Q2</v>
      </c>
      <c r="AW2" t="str">
        <f>IFERROR(IF(0=LEN(ReferenceData!$AW$2),"",ReferenceData!$AW$2),"")</f>
        <v>2007 Q1</v>
      </c>
      <c r="AX2" t="str">
        <f>IFERROR(IF(0=LEN(ReferenceData!$AX$2),"",ReferenceData!$AX$2),"")</f>
        <v>2006 Q4</v>
      </c>
      <c r="AY2" t="str">
        <f>IFERROR(IF(0=LEN(ReferenceData!$AY$2),"",ReferenceData!$AY$2),"")</f>
        <v>2006 Q3</v>
      </c>
      <c r="AZ2" t="str">
        <f>IFERROR(IF(0=LEN(ReferenceData!$AZ$2),"",ReferenceData!$AZ$2),"")</f>
        <v>2006 Q2</v>
      </c>
      <c r="BA2" t="str">
        <f>IFERROR(IF(0=LEN(ReferenceData!$BA$2),"",ReferenceData!$BA$2),"")</f>
        <v>2006 Q1</v>
      </c>
      <c r="BB2" t="str">
        <f>IFERROR(IF(0=LEN(ReferenceData!$BB$2),"",ReferenceData!$BB$2),"")</f>
        <v>2005 Q4</v>
      </c>
      <c r="BC2" t="str">
        <f>IFERROR(IF(0=LEN(ReferenceData!$BC$2),"",ReferenceData!$BC$2),"")</f>
        <v>2005 Q3</v>
      </c>
      <c r="BD2" t="str">
        <f>IFERROR(IF(0=LEN(ReferenceData!$BD$2),"",ReferenceData!$BD$2),"")</f>
        <v>2005 Q2</v>
      </c>
      <c r="BE2" t="str">
        <f>IFERROR(IF(0=LEN(ReferenceData!$BE$2),"",ReferenceData!$BE$2),"")</f>
        <v>2005 Q1</v>
      </c>
      <c r="BF2" t="str">
        <f>IFERROR(IF(0=LEN(ReferenceData!$BF$2),"",ReferenceData!$BF$2),"")</f>
        <v>2004 Q4</v>
      </c>
      <c r="BG2" t="str">
        <f>IFERROR(IF(0=LEN(ReferenceData!$BG$2),"",ReferenceData!$BG$2),"")</f>
        <v>2004 Q3</v>
      </c>
      <c r="BH2" t="str">
        <f>IFERROR(IF(0=LEN(ReferenceData!$BH$2),"",ReferenceData!$BH$2),"")</f>
        <v>2004 Q2</v>
      </c>
      <c r="BI2" t="str">
        <f>IFERROR(IF(0=LEN(ReferenceData!$BI$2),"",ReferenceData!$BI$2),"")</f>
        <v>2004 Q1</v>
      </c>
      <c r="BJ2" t="str">
        <f>IFERROR(IF(0=LEN(ReferenceData!$BJ$2),"",ReferenceData!$BJ$2),"")</f>
        <v>2003 Q4</v>
      </c>
      <c r="BK2" t="str">
        <f>IFERROR(IF(0=LEN(ReferenceData!$BK$2),"",ReferenceData!$BK$2),"")</f>
        <v>2003 Q3</v>
      </c>
      <c r="BL2" t="str">
        <f>IFERROR(IF(0=LEN(ReferenceData!$BL$2),"",ReferenceData!$BL$2),"")</f>
        <v>2003 Q2</v>
      </c>
      <c r="BM2" t="str">
        <f>IFERROR(IF(0=LEN(ReferenceData!$BM$2),"",ReferenceData!$BM$2),"")</f>
        <v>2003 Q1</v>
      </c>
    </row>
    <row r="3" spans="1:65">
      <c r="A3" t="str">
        <f>IFERROR(IF(0=LEN(ReferenceData!$A$3),"",ReferenceData!$A$3),"")</f>
        <v>NAREIT T-Tracker数据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标题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>
      <c r="A4" t="str">
        <f>IFERROR(IF(0=LEN(ReferenceData!$A$4),"",ReferenceData!$A$4),"")</f>
        <v>住宅房地产投资信托数据 - 住宅房地产投资信托总营运现金流</v>
      </c>
      <c r="B4" t="str">
        <f>IFERROR(IF(0=LEN(ReferenceData!$B$4),"",ReferenceData!$B$4),"")</f>
        <v>RECFFORS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动态</v>
      </c>
      <c r="F4">
        <f ca="1">IFERROR(IF(0=LEN(ReferenceData!$F$4),"",ReferenceData!$F$4),"")</f>
        <v>1812.395066</v>
      </c>
      <c r="G4">
        <f ca="1">IFERROR(IF(0=LEN(ReferenceData!$G$4),"",ReferenceData!$G$4),"")</f>
        <v>1784.193</v>
      </c>
      <c r="H4">
        <f ca="1">IFERROR(IF(0=LEN(ReferenceData!$H$4),"",ReferenceData!$H$4),"")</f>
        <v>1727.5</v>
      </c>
      <c r="I4">
        <f ca="1">IFERROR(IF(0=LEN(ReferenceData!$I$4),"",ReferenceData!$I$4),"")</f>
        <v>1734.752</v>
      </c>
      <c r="J4">
        <f ca="1">IFERROR(IF(0=LEN(ReferenceData!$J$4),"",ReferenceData!$J$4),"")</f>
        <v>1596.9760000000001</v>
      </c>
      <c r="K4">
        <f ca="1">IFERROR(IF(0=LEN(ReferenceData!$K$4),"",ReferenceData!$K$4),"")</f>
        <v>1626.8789999999999</v>
      </c>
      <c r="L4">
        <f ca="1">IFERROR(IF(0=LEN(ReferenceData!$L$4),"",ReferenceData!$L$4),"")</f>
        <v>1646.4829999999999</v>
      </c>
      <c r="M4">
        <f ca="1">IFERROR(IF(0=LEN(ReferenceData!$M$4),"",ReferenceData!$M$4),"")</f>
        <v>1489.5329999999999</v>
      </c>
      <c r="N4">
        <f ca="1">IFERROR(IF(0=LEN(ReferenceData!$N$4),"",ReferenceData!$N$4),"")</f>
        <v>1579.8610000000001</v>
      </c>
      <c r="O4">
        <f ca="1">IFERROR(IF(0=LEN(ReferenceData!$O$4),"",ReferenceData!$O$4),"")</f>
        <v>1541.452</v>
      </c>
      <c r="P4">
        <f ca="1">IFERROR(IF(0=LEN(ReferenceData!$P$4),"",ReferenceData!$P$4),"")</f>
        <v>1661.556</v>
      </c>
      <c r="Q4">
        <f ca="1">IFERROR(IF(0=LEN(ReferenceData!$Q$4),"",ReferenceData!$Q$4),"")</f>
        <v>1519.3430000000001</v>
      </c>
      <c r="R4">
        <f ca="1">IFERROR(IF(0=LEN(ReferenceData!$R$4),"",ReferenceData!$R$4),"")</f>
        <v>1467.2929999999999</v>
      </c>
      <c r="S4">
        <f ca="1">IFERROR(IF(0=LEN(ReferenceData!$S$4),"",ReferenceData!$S$4),"")</f>
        <v>1278.0619999999999</v>
      </c>
      <c r="T4">
        <f ca="1">IFERROR(IF(0=LEN(ReferenceData!$T$4),"",ReferenceData!$T$4),"")</f>
        <v>1330.136</v>
      </c>
      <c r="U4">
        <f ca="1">IFERROR(IF(0=LEN(ReferenceData!$U$4),"",ReferenceData!$U$4),"")</f>
        <v>1255.4870000000001</v>
      </c>
      <c r="V4">
        <f ca="1">IFERROR(IF(0=LEN(ReferenceData!$V$4),"",ReferenceData!$V$4),"")</f>
        <v>1279.462</v>
      </c>
      <c r="W4">
        <f ca="1">IFERROR(IF(0=LEN(ReferenceData!$W$4),"",ReferenceData!$W$4),"")</f>
        <v>1128.721</v>
      </c>
      <c r="X4">
        <f ca="1">IFERROR(IF(0=LEN(ReferenceData!$X$4),"",ReferenceData!$X$4),"")</f>
        <v>1221.1400000000001</v>
      </c>
      <c r="Y4">
        <f ca="1">IFERROR(IF(0=LEN(ReferenceData!$Y$4),"",ReferenceData!$Y$4),"")</f>
        <v>941.94500000000005</v>
      </c>
      <c r="Z4">
        <f ca="1">IFERROR(IF(0=LEN(ReferenceData!$Z$4),"",ReferenceData!$Z$4),"")</f>
        <v>1132.576</v>
      </c>
      <c r="AA4">
        <f ca="1">IFERROR(IF(0=LEN(ReferenceData!$AA$4),"",ReferenceData!$AA$4),"")</f>
        <v>1078.7159999999999</v>
      </c>
      <c r="AB4">
        <f ca="1">IFERROR(IF(0=LEN(ReferenceData!$AB$4),"",ReferenceData!$AB$4),"")</f>
        <v>966.16700000000003</v>
      </c>
      <c r="AC4">
        <f ca="1">IFERROR(IF(0=LEN(ReferenceData!$AC$4),"",ReferenceData!$AC$4),"")</f>
        <v>965.71799999999996</v>
      </c>
      <c r="AD4">
        <f ca="1">IFERROR(IF(0=LEN(ReferenceData!$AD$4),"",ReferenceData!$AD$4),"")</f>
        <v>894.17700000000002</v>
      </c>
      <c r="AE4">
        <f ca="1">IFERROR(IF(0=LEN(ReferenceData!$AE$4),"",ReferenceData!$AE$4),"")</f>
        <v>814.43</v>
      </c>
      <c r="AF4">
        <f ca="1">IFERROR(IF(0=LEN(ReferenceData!$AF$4),"",ReferenceData!$AF$4),"")</f>
        <v>727.10799999999995</v>
      </c>
      <c r="AG4">
        <f ca="1">IFERROR(IF(0=LEN(ReferenceData!$AG$4),"",ReferenceData!$AG$4),"")</f>
        <v>757.96799999999996</v>
      </c>
      <c r="AH4">
        <f ca="1">IFERROR(IF(0=LEN(ReferenceData!$AH$4),"",ReferenceData!$AH$4),"")</f>
        <v>649.76099999999997</v>
      </c>
      <c r="AI4">
        <f ca="1">IFERROR(IF(0=LEN(ReferenceData!$AI$4),"",ReferenceData!$AI$4),"")</f>
        <v>655.80600000000004</v>
      </c>
      <c r="AJ4">
        <f ca="1">IFERROR(IF(0=LEN(ReferenceData!$AJ$4),"",ReferenceData!$AJ$4),"")</f>
        <v>627.59299999999996</v>
      </c>
      <c r="AK4">
        <f ca="1">IFERROR(IF(0=LEN(ReferenceData!$AK$4),"",ReferenceData!$AK$4),"")</f>
        <v>630.09199999999998</v>
      </c>
      <c r="AL4">
        <f ca="1">IFERROR(IF(0=LEN(ReferenceData!$AL$4),"",ReferenceData!$AL$4),"")</f>
        <v>451.95</v>
      </c>
      <c r="AM4">
        <f ca="1">IFERROR(IF(0=LEN(ReferenceData!$AM$4),"",ReferenceData!$AM$4),"")</f>
        <v>608.85599999999999</v>
      </c>
      <c r="AN4">
        <f ca="1">IFERROR(IF(0=LEN(ReferenceData!$AN$4),"",ReferenceData!$AN$4),"")</f>
        <v>581.01</v>
      </c>
      <c r="AO4">
        <f ca="1">IFERROR(IF(0=LEN(ReferenceData!$AO$4),"",ReferenceData!$AO$4),"")</f>
        <v>766.03300000000002</v>
      </c>
      <c r="AP4">
        <f ca="1">IFERROR(IF(0=LEN(ReferenceData!$AP$4),"",ReferenceData!$AP$4),"")</f>
        <v>202.31899999999999</v>
      </c>
      <c r="AQ4">
        <f ca="1">IFERROR(IF(0=LEN(ReferenceData!$AQ$4),"",ReferenceData!$AQ$4),"")</f>
        <v>707.30799999999999</v>
      </c>
      <c r="AR4">
        <f ca="1">IFERROR(IF(0=LEN(ReferenceData!$AR$4),"",ReferenceData!$AR$4),"")</f>
        <v>695.93</v>
      </c>
      <c r="AS4">
        <f ca="1">IFERROR(IF(0=LEN(ReferenceData!$AS$4),"",ReferenceData!$AS$4),"")</f>
        <v>725.15899999999999</v>
      </c>
      <c r="AT4">
        <f ca="1">IFERROR(IF(0=LEN(ReferenceData!$AT$4),"",ReferenceData!$AT$4),"")</f>
        <v>747.6345</v>
      </c>
      <c r="AU4">
        <f ca="1">IFERROR(IF(0=LEN(ReferenceData!$AU$4),"",ReferenceData!$AU$4),"")</f>
        <v>715.05600000000004</v>
      </c>
      <c r="AV4">
        <f ca="1">IFERROR(IF(0=LEN(ReferenceData!$AV$4),"",ReferenceData!$AV$4),"")</f>
        <v>855.08699999999999</v>
      </c>
      <c r="AW4">
        <f ca="1">IFERROR(IF(0=LEN(ReferenceData!$AW$4),"",ReferenceData!$AW$4),"")</f>
        <v>840.92600000000004</v>
      </c>
      <c r="AX4">
        <f ca="1">IFERROR(IF(0=LEN(ReferenceData!$AX$4),"",ReferenceData!$AX$4),"")</f>
        <v>781.09799999999996</v>
      </c>
      <c r="AY4">
        <f ca="1">IFERROR(IF(0=LEN(ReferenceData!$AY$4),"",ReferenceData!$AY$4),"")</f>
        <v>839.27599999999995</v>
      </c>
      <c r="AZ4">
        <f ca="1">IFERROR(IF(0=LEN(ReferenceData!$AZ$4),"",ReferenceData!$AZ$4),"")</f>
        <v>869.423</v>
      </c>
      <c r="BA4">
        <f ca="1">IFERROR(IF(0=LEN(ReferenceData!$BA$4),"",ReferenceData!$BA$4),"")</f>
        <v>833.00800000000004</v>
      </c>
      <c r="BB4">
        <f ca="1">IFERROR(IF(0=LEN(ReferenceData!$BB$4),"",ReferenceData!$BB$4),"")</f>
        <v>778.27700000000004</v>
      </c>
      <c r="BC4">
        <f ca="1">IFERROR(IF(0=LEN(ReferenceData!$BC$4),"",ReferenceData!$BC$4),"")</f>
        <v>686.80200000000002</v>
      </c>
      <c r="BD4">
        <f ca="1">IFERROR(IF(0=LEN(ReferenceData!$BD$4),"",ReferenceData!$BD$4),"")</f>
        <v>779.58500000000004</v>
      </c>
      <c r="BE4">
        <f ca="1">IFERROR(IF(0=LEN(ReferenceData!$BE$4),"",ReferenceData!$BE$4),"")</f>
        <v>829.71799999999996</v>
      </c>
      <c r="BF4">
        <f ca="1">IFERROR(IF(0=LEN(ReferenceData!$BF$4),"",ReferenceData!$BF$4),"")</f>
        <v>698.87350000000004</v>
      </c>
      <c r="BG4">
        <f ca="1">IFERROR(IF(0=LEN(ReferenceData!$BG$4),"",ReferenceData!$BG$4),"")</f>
        <v>754.8365</v>
      </c>
      <c r="BH4">
        <f ca="1">IFERROR(IF(0=LEN(ReferenceData!$BH$4),"",ReferenceData!$BH$4),"")</f>
        <v>705.67</v>
      </c>
      <c r="BI4">
        <f ca="1">IFERROR(IF(0=LEN(ReferenceData!$BI$4),"",ReferenceData!$BI$4),"")</f>
        <v>714.14</v>
      </c>
      <c r="BJ4">
        <f ca="1">IFERROR(IF(0=LEN(ReferenceData!$BJ$4),"",ReferenceData!$BJ$4),"")</f>
        <v>715.80550000000005</v>
      </c>
      <c r="BK4">
        <f ca="1">IFERROR(IF(0=LEN(ReferenceData!$BK$4),"",ReferenceData!$BK$4),"")</f>
        <v>740.86699999999996</v>
      </c>
      <c r="BL4">
        <f ca="1">IFERROR(IF(0=LEN(ReferenceData!$BL$4),"",ReferenceData!$BL$4),"")</f>
        <v>743.71500000000003</v>
      </c>
      <c r="BM4">
        <f ca="1">IFERROR(IF(0=LEN(ReferenceData!$BM$4),"",ReferenceData!$BM$4),"")</f>
        <v>748.56100000000004</v>
      </c>
    </row>
    <row r="5" spans="1:65">
      <c r="A5" t="str">
        <f>IFERROR(IF(0=LEN(ReferenceData!$A$5),"",ReferenceData!$A$5),"")</f>
        <v>住宅房地产投资信托数据 - 住宅房地产投资信托净营业利润</v>
      </c>
      <c r="B5" t="str">
        <f>IFERROR(IF(0=LEN(ReferenceData!$B$5),"",ReferenceData!$B$5),"")</f>
        <v>RECFNORS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动态</v>
      </c>
      <c r="F5">
        <f ca="1">IFERROR(IF(0=LEN(ReferenceData!$F$5),"",ReferenceData!$F$5),"")</f>
        <v>2754.119467</v>
      </c>
      <c r="G5">
        <f ca="1">IFERROR(IF(0=LEN(ReferenceData!$G$5),"",ReferenceData!$G$5),"")</f>
        <v>2658.4229999999998</v>
      </c>
      <c r="H5">
        <f ca="1">IFERROR(IF(0=LEN(ReferenceData!$H$5),"",ReferenceData!$H$5),"")</f>
        <v>2646.4009999999998</v>
      </c>
      <c r="I5">
        <f ca="1">IFERROR(IF(0=LEN(ReferenceData!$I$5),"",ReferenceData!$I$5),"")</f>
        <v>2665.9070000000002</v>
      </c>
      <c r="J5">
        <f ca="1">IFERROR(IF(0=LEN(ReferenceData!$J$5),"",ReferenceData!$J$5),"")</f>
        <v>2456.0439999999999</v>
      </c>
      <c r="K5">
        <f ca="1">IFERROR(IF(0=LEN(ReferenceData!$K$5),"",ReferenceData!$K$5),"")</f>
        <v>2392.5770000000002</v>
      </c>
      <c r="L5">
        <f ca="1">IFERROR(IF(0=LEN(ReferenceData!$L$5),"",ReferenceData!$L$5),"")</f>
        <v>2357.018</v>
      </c>
      <c r="M5">
        <f ca="1">IFERROR(IF(0=LEN(ReferenceData!$M$5),"",ReferenceData!$M$5),"")</f>
        <v>2353.482</v>
      </c>
      <c r="N5">
        <f ca="1">IFERROR(IF(0=LEN(ReferenceData!$N$5),"",ReferenceData!$N$5),"")</f>
        <v>2360.35</v>
      </c>
      <c r="O5">
        <f ca="1">IFERROR(IF(0=LEN(ReferenceData!$O$5),"",ReferenceData!$O$5),"")</f>
        <v>2232.3710000000001</v>
      </c>
      <c r="P5">
        <f ca="1">IFERROR(IF(0=LEN(ReferenceData!$P$5),"",ReferenceData!$P$5),"")</f>
        <v>2355.3719999999998</v>
      </c>
      <c r="Q5">
        <f ca="1">IFERROR(IF(0=LEN(ReferenceData!$Q$5),"",ReferenceData!$Q$5),"")</f>
        <v>2275.674</v>
      </c>
      <c r="R5">
        <f ca="1">IFERROR(IF(0=LEN(ReferenceData!$R$5),"",ReferenceData!$R$5),"")</f>
        <v>2225.5715</v>
      </c>
      <c r="S5">
        <f ca="1">IFERROR(IF(0=LEN(ReferenceData!$S$5),"",ReferenceData!$S$5),"")</f>
        <v>2077.9290000000001</v>
      </c>
      <c r="T5">
        <f ca="1">IFERROR(IF(0=LEN(ReferenceData!$T$5),"",ReferenceData!$T$5),"")</f>
        <v>2037.04</v>
      </c>
      <c r="U5">
        <f ca="1">IFERROR(IF(0=LEN(ReferenceData!$U$5),"",ReferenceData!$U$5),"")</f>
        <v>1902.9390000000001</v>
      </c>
      <c r="V5">
        <f ca="1">IFERROR(IF(0=LEN(ReferenceData!$V$5),"",ReferenceData!$V$5),"")</f>
        <v>1972.425</v>
      </c>
      <c r="W5">
        <f ca="1">IFERROR(IF(0=LEN(ReferenceData!$W$5),"",ReferenceData!$W$5),"")</f>
        <v>1815.75</v>
      </c>
      <c r="X5">
        <f ca="1">IFERROR(IF(0=LEN(ReferenceData!$X$5),"",ReferenceData!$X$5),"")</f>
        <v>1855.6859999999999</v>
      </c>
      <c r="Y5">
        <f ca="1">IFERROR(IF(0=LEN(ReferenceData!$Y$5),"",ReferenceData!$Y$5),"")</f>
        <v>1733.444</v>
      </c>
      <c r="Z5">
        <f ca="1">IFERROR(IF(0=LEN(ReferenceData!$Z$5),"",ReferenceData!$Z$5),"")</f>
        <v>1687.6990000000001</v>
      </c>
      <c r="AA5">
        <f ca="1">IFERROR(IF(0=LEN(ReferenceData!$AA$5),"",ReferenceData!$AA$5),"")</f>
        <v>1621.655</v>
      </c>
      <c r="AB5">
        <f ca="1">IFERROR(IF(0=LEN(ReferenceData!$AB$5),"",ReferenceData!$AB$5),"")</f>
        <v>1592.5530000000001</v>
      </c>
      <c r="AC5">
        <f ca="1">IFERROR(IF(0=LEN(ReferenceData!$AC$5),"",ReferenceData!$AC$5),"")</f>
        <v>1571.6479999999999</v>
      </c>
      <c r="AD5">
        <f ca="1">IFERROR(IF(0=LEN(ReferenceData!$AD$5),"",ReferenceData!$AD$5),"")</f>
        <v>1538.701</v>
      </c>
      <c r="AE5">
        <f ca="1">IFERROR(IF(0=LEN(ReferenceData!$AE$5),"",ReferenceData!$AE$5),"")</f>
        <v>1462.8009999999999</v>
      </c>
      <c r="AF5">
        <f ca="1">IFERROR(IF(0=LEN(ReferenceData!$AF$5),"",ReferenceData!$AF$5),"")</f>
        <v>1425.921</v>
      </c>
      <c r="AG5">
        <f ca="1">IFERROR(IF(0=LEN(ReferenceData!$AG$5),"",ReferenceData!$AG$5),"")</f>
        <v>1405.64</v>
      </c>
      <c r="AH5">
        <f ca="1">IFERROR(IF(0=LEN(ReferenceData!$AH$5),"",ReferenceData!$AH$5),"")</f>
        <v>1380.7460000000001</v>
      </c>
      <c r="AI5">
        <f ca="1">IFERROR(IF(0=LEN(ReferenceData!$AI$5),"",ReferenceData!$AI$5),"")</f>
        <v>1316.0909999999999</v>
      </c>
      <c r="AJ5">
        <f ca="1">IFERROR(IF(0=LEN(ReferenceData!$AJ$5),"",ReferenceData!$AJ$5),"")</f>
        <v>1295.627</v>
      </c>
      <c r="AK5">
        <f ca="1">IFERROR(IF(0=LEN(ReferenceData!$AK$5),"",ReferenceData!$AK$5),"")</f>
        <v>1271.4159999999999</v>
      </c>
      <c r="AL5">
        <f ca="1">IFERROR(IF(0=LEN(ReferenceData!$AL$5),"",ReferenceData!$AL$5),"")</f>
        <v>1285.4929999999999</v>
      </c>
      <c r="AM5">
        <f ca="1">IFERROR(IF(0=LEN(ReferenceData!$AM$5),"",ReferenceData!$AM$5),"")</f>
        <v>1271.22</v>
      </c>
      <c r="AN5">
        <f ca="1">IFERROR(IF(0=LEN(ReferenceData!$AN$5),"",ReferenceData!$AN$5),"")</f>
        <v>1323.952</v>
      </c>
      <c r="AO5">
        <f ca="1">IFERROR(IF(0=LEN(ReferenceData!$AO$5),"",ReferenceData!$AO$5),"")</f>
        <v>1342.9670000000001</v>
      </c>
      <c r="AP5">
        <f ca="1">IFERROR(IF(0=LEN(ReferenceData!$AP$5),"",ReferenceData!$AP$5),"")</f>
        <v>1298.1495</v>
      </c>
      <c r="AQ5">
        <f ca="1">IFERROR(IF(0=LEN(ReferenceData!$AQ$5),"",ReferenceData!$AQ$5),"")</f>
        <v>1328.4179999999999</v>
      </c>
      <c r="AR5">
        <f ca="1">IFERROR(IF(0=LEN(ReferenceData!$AR$5),"",ReferenceData!$AR$5),"")</f>
        <v>1354.479</v>
      </c>
      <c r="AS5">
        <f ca="1">IFERROR(IF(0=LEN(ReferenceData!$AS$5),"",ReferenceData!$AS$5),"")</f>
        <v>1369.528</v>
      </c>
      <c r="AT5">
        <f ca="1">IFERROR(IF(0=LEN(ReferenceData!$AT$5),"",ReferenceData!$AT$5),"")</f>
        <v>1402.9390000000001</v>
      </c>
      <c r="AU5">
        <f ca="1">IFERROR(IF(0=LEN(ReferenceData!$AU$5),"",ReferenceData!$AU$5),"")</f>
        <v>1375.337</v>
      </c>
      <c r="AV5">
        <f ca="1">IFERROR(IF(0=LEN(ReferenceData!$AV$5),"",ReferenceData!$AV$5),"")</f>
        <v>1536.7429999999999</v>
      </c>
      <c r="AW5">
        <f ca="1">IFERROR(IF(0=LEN(ReferenceData!$AW$5),"",ReferenceData!$AW$5),"")</f>
        <v>1512.7</v>
      </c>
      <c r="AX5">
        <f ca="1">IFERROR(IF(0=LEN(ReferenceData!$AX$5),"",ReferenceData!$AX$5),"")</f>
        <v>1505.9925000000001</v>
      </c>
      <c r="AY5">
        <f ca="1">IFERROR(IF(0=LEN(ReferenceData!$AY$5),"",ReferenceData!$AY$5),"")</f>
        <v>1494.13</v>
      </c>
      <c r="AZ5">
        <f ca="1">IFERROR(IF(0=LEN(ReferenceData!$AZ$5),"",ReferenceData!$AZ$5),"")</f>
        <v>1483.5029999999999</v>
      </c>
      <c r="BA5">
        <f ca="1">IFERROR(IF(0=LEN(ReferenceData!$BA$5),"",ReferenceData!$BA$5),"")</f>
        <v>1455.1849999999999</v>
      </c>
      <c r="BB5">
        <f ca="1">IFERROR(IF(0=LEN(ReferenceData!$BB$5),"",ReferenceData!$BB$5),"")</f>
        <v>1439.086</v>
      </c>
      <c r="BC5">
        <f ca="1">IFERROR(IF(0=LEN(ReferenceData!$BC$5),"",ReferenceData!$BC$5),"")</f>
        <v>1387.6489999999999</v>
      </c>
      <c r="BD5">
        <f ca="1">IFERROR(IF(0=LEN(ReferenceData!$BD$5),"",ReferenceData!$BD$5),"")</f>
        <v>1437.442</v>
      </c>
      <c r="BE5">
        <f ca="1">IFERROR(IF(0=LEN(ReferenceData!$BE$5),"",ReferenceData!$BE$5),"")</f>
        <v>1380.9970000000001</v>
      </c>
      <c r="BF5">
        <f ca="1">IFERROR(IF(0=LEN(ReferenceData!$BF$5),"",ReferenceData!$BF$5),"")</f>
        <v>1345.4369999999999</v>
      </c>
      <c r="BG5">
        <f ca="1">IFERROR(IF(0=LEN(ReferenceData!$BG$5),"",ReferenceData!$BG$5),"")</f>
        <v>1343.6210000000001</v>
      </c>
      <c r="BH5">
        <f ca="1">IFERROR(IF(0=LEN(ReferenceData!$BH$5),"",ReferenceData!$BH$5),"")</f>
        <v>1369.287</v>
      </c>
      <c r="BI5">
        <f ca="1">IFERROR(IF(0=LEN(ReferenceData!$BI$5),"",ReferenceData!$BI$5),"")</f>
        <v>1332.9960000000001</v>
      </c>
      <c r="BJ5">
        <f ca="1">IFERROR(IF(0=LEN(ReferenceData!$BJ$5),"",ReferenceData!$BJ$5),"")</f>
        <v>1291.0039999999999</v>
      </c>
      <c r="BK5">
        <f ca="1">IFERROR(IF(0=LEN(ReferenceData!$BK$5),"",ReferenceData!$BK$5),"")</f>
        <v>1294.6759999999999</v>
      </c>
      <c r="BL5">
        <f ca="1">IFERROR(IF(0=LEN(ReferenceData!$BL$5),"",ReferenceData!$BL$5),"")</f>
        <v>1360.5429999999999</v>
      </c>
      <c r="BM5">
        <f ca="1">IFERROR(IF(0=LEN(ReferenceData!$BM$5),"",ReferenceData!$BM$5),"")</f>
        <v>1331.904</v>
      </c>
    </row>
    <row r="6" spans="1:65">
      <c r="A6" t="str">
        <f>IFERROR(IF(0=LEN(ReferenceData!$A$6),"",ReferenceData!$A$6),"")</f>
        <v>住宅房地产投资信托数据 - 住宅房地产投资信托同店净营业利润增长</v>
      </c>
      <c r="B6" t="str">
        <f>IFERROR(IF(0=LEN(ReferenceData!$B$6),"",ReferenceData!$B$6),"")</f>
        <v>RECFSSRS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动态</v>
      </c>
      <c r="F6">
        <f ca="1">IFERROR(IF(0=LEN(ReferenceData!$F$6),"",ReferenceData!$F$6),"")</f>
        <v>3.3462044870000001</v>
      </c>
      <c r="G6">
        <f ca="1">IFERROR(IF(0=LEN(ReferenceData!$G$6),"",ReferenceData!$G$6),"")</f>
        <v>3.5645333849999998</v>
      </c>
      <c r="H6">
        <f ca="1">IFERROR(IF(0=LEN(ReferenceData!$H$6),"",ReferenceData!$H$6),"")</f>
        <v>3.71620003</v>
      </c>
      <c r="I6">
        <f ca="1">IFERROR(IF(0=LEN(ReferenceData!$I$6),"",ReferenceData!$I$6),"")</f>
        <v>4.1112273540000004</v>
      </c>
      <c r="J6">
        <f ca="1">IFERROR(IF(0=LEN(ReferenceData!$J$6),"",ReferenceData!$J$6),"")</f>
        <v>4.9319453360000001</v>
      </c>
      <c r="K6">
        <f ca="1">IFERROR(IF(0=LEN(ReferenceData!$K$6),"",ReferenceData!$K$6),"")</f>
        <v>5.1163226990000004</v>
      </c>
      <c r="L6">
        <f ca="1">IFERROR(IF(0=LEN(ReferenceData!$L$6),"",ReferenceData!$L$6),"")</f>
        <v>5.6397030319999999</v>
      </c>
      <c r="M6">
        <f ca="1">IFERROR(IF(0=LEN(ReferenceData!$M$6),"",ReferenceData!$M$6),"")</f>
        <v>6.954329607</v>
      </c>
      <c r="N6">
        <f ca="1">IFERROR(IF(0=LEN(ReferenceData!$N$6),"",ReferenceData!$N$6),"")</f>
        <v>6.8374679739999999</v>
      </c>
      <c r="O6">
        <f ca="1">IFERROR(IF(0=LEN(ReferenceData!$O$6),"",ReferenceData!$O$6),"")</f>
        <v>6.4519201649999998</v>
      </c>
      <c r="P6">
        <f ca="1">IFERROR(IF(0=LEN(ReferenceData!$P$6),"",ReferenceData!$P$6),"")</f>
        <v>6.2017975950000004</v>
      </c>
      <c r="Q6">
        <f ca="1">IFERROR(IF(0=LEN(ReferenceData!$Q$6),"",ReferenceData!$Q$6),"")</f>
        <v>5.9172860580000002</v>
      </c>
      <c r="R6">
        <f ca="1">IFERROR(IF(0=LEN(ReferenceData!$R$6),"",ReferenceData!$R$6),"")</f>
        <v>5.2718136600000003</v>
      </c>
      <c r="S6">
        <f ca="1">IFERROR(IF(0=LEN(ReferenceData!$S$6),"",ReferenceData!$S$6),"")</f>
        <v>5.2277861559999996</v>
      </c>
      <c r="T6">
        <f ca="1">IFERROR(IF(0=LEN(ReferenceData!$T$6),"",ReferenceData!$T$6),"")</f>
        <v>4.4975832630000001</v>
      </c>
      <c r="U6">
        <f ca="1">IFERROR(IF(0=LEN(ReferenceData!$U$6),"",ReferenceData!$U$6),"")</f>
        <v>3.8404904289999999</v>
      </c>
      <c r="V6">
        <f ca="1">IFERROR(IF(0=LEN(ReferenceData!$V$6),"",ReferenceData!$V$6),"")</f>
        <v>4.3587436909999999</v>
      </c>
      <c r="W6">
        <f ca="1">IFERROR(IF(0=LEN(ReferenceData!$W$6),"",ReferenceData!$W$6),"")</f>
        <v>4.6716554969999997</v>
      </c>
      <c r="X6">
        <f ca="1">IFERROR(IF(0=LEN(ReferenceData!$X$6),"",ReferenceData!$X$6),"")</f>
        <v>5.321588502</v>
      </c>
      <c r="Y6">
        <f ca="1">IFERROR(IF(0=LEN(ReferenceData!$Y$6),"",ReferenceData!$Y$6),"")</f>
        <v>5.446350979</v>
      </c>
      <c r="Z6">
        <f ca="1">IFERROR(IF(0=LEN(ReferenceData!$Z$6),"",ReferenceData!$Z$6),"")</f>
        <v>6.3559575170000002</v>
      </c>
      <c r="AA6">
        <f ca="1">IFERROR(IF(0=LEN(ReferenceData!$AA$6),"",ReferenceData!$AA$6),"")</f>
        <v>7.2269304349999999</v>
      </c>
      <c r="AB6">
        <f ca="1">IFERROR(IF(0=LEN(ReferenceData!$AB$6),"",ReferenceData!$AB$6),"")</f>
        <v>6.9984410920000002</v>
      </c>
      <c r="AC6">
        <f ca="1">IFERROR(IF(0=LEN(ReferenceData!$AC$6),"",ReferenceData!$AC$6),"")</f>
        <v>7.79652776</v>
      </c>
      <c r="AD6">
        <f ca="1">IFERROR(IF(0=LEN(ReferenceData!$AD$6),"",ReferenceData!$AD$6),"")</f>
        <v>7.2653176730000002</v>
      </c>
      <c r="AE6">
        <f ca="1">IFERROR(IF(0=LEN(ReferenceData!$AE$6),"",ReferenceData!$AE$6),"")</f>
        <v>6.7821166750000001</v>
      </c>
      <c r="AF6">
        <f ca="1">IFERROR(IF(0=LEN(ReferenceData!$AF$6),"",ReferenceData!$AF$6),"")</f>
        <v>5.9587678449999997</v>
      </c>
      <c r="AG6">
        <f ca="1">IFERROR(IF(0=LEN(ReferenceData!$AG$6),"",ReferenceData!$AG$6),"")</f>
        <v>5.5835207630000001</v>
      </c>
      <c r="AH6">
        <f ca="1">IFERROR(IF(0=LEN(ReferenceData!$AH$6),"",ReferenceData!$AH$6),"")</f>
        <v>3.4122129399999999</v>
      </c>
      <c r="AI6">
        <f ca="1">IFERROR(IF(0=LEN(ReferenceData!$AI$6),"",ReferenceData!$AI$6),"")</f>
        <v>0.89761842199999997</v>
      </c>
      <c r="AJ6">
        <f ca="1">IFERROR(IF(0=LEN(ReferenceData!$AJ$6),"",ReferenceData!$AJ$6),"")</f>
        <v>-2.3419977489999999</v>
      </c>
      <c r="AK6">
        <f ca="1">IFERROR(IF(0=LEN(ReferenceData!$AK$6),"",ReferenceData!$AK$6),"")</f>
        <v>-5.0405734720000002</v>
      </c>
      <c r="AL6">
        <f ca="1">IFERROR(IF(0=LEN(ReferenceData!$AL$6),"",ReferenceData!$AL$6),"")</f>
        <v>-5.2728332929999997</v>
      </c>
      <c r="AM6">
        <f ca="1">IFERROR(IF(0=LEN(ReferenceData!$AM$6),"",ReferenceData!$AM$6),"")</f>
        <v>-4.3629292550000001</v>
      </c>
      <c r="AN6">
        <f ca="1">IFERROR(IF(0=LEN(ReferenceData!$AN$6),"",ReferenceData!$AN$6),"")</f>
        <v>-2.7178845049999998</v>
      </c>
      <c r="AO6">
        <f ca="1">IFERROR(IF(0=LEN(ReferenceData!$AO$6),"",ReferenceData!$AO$6),"")</f>
        <v>-0.46925983999999998</v>
      </c>
      <c r="AP6">
        <f ca="1">IFERROR(IF(0=LEN(ReferenceData!$AP$6),"",ReferenceData!$AP$6),"")</f>
        <v>1.974989203</v>
      </c>
      <c r="AQ6">
        <f ca="1">IFERROR(IF(0=LEN(ReferenceData!$AQ$6),"",ReferenceData!$AQ$6),"")</f>
        <v>2.631459736</v>
      </c>
      <c r="AR6">
        <f ca="1">IFERROR(IF(0=LEN(ReferenceData!$AR$6),"",ReferenceData!$AR$6),"")</f>
        <v>4.2600575809999999</v>
      </c>
      <c r="AS6">
        <f ca="1">IFERROR(IF(0=LEN(ReferenceData!$AS$6),"",ReferenceData!$AS$6),"")</f>
        <v>3.8066268129999998</v>
      </c>
      <c r="AT6">
        <f ca="1">IFERROR(IF(0=LEN(ReferenceData!$AT$6),"",ReferenceData!$AT$6),"")</f>
        <v>4.9565534250000001</v>
      </c>
      <c r="AU6">
        <f ca="1">IFERROR(IF(0=LEN(ReferenceData!$AU$6),"",ReferenceData!$AU$6),"")</f>
        <v>5.6298879450000001</v>
      </c>
      <c r="AV6">
        <f ca="1">IFERROR(IF(0=LEN(ReferenceData!$AV$6),"",ReferenceData!$AV$6),"")</f>
        <v>5.2716310130000004</v>
      </c>
      <c r="AW6">
        <f ca="1">IFERROR(IF(0=LEN(ReferenceData!$AW$6),"",ReferenceData!$AW$6),"")</f>
        <v>6.4298378270000001</v>
      </c>
      <c r="AX6">
        <f ca="1">IFERROR(IF(0=LEN(ReferenceData!$AX$6),"",ReferenceData!$AX$6),"")</f>
        <v>6.7653072759999997</v>
      </c>
      <c r="AY6">
        <f ca="1">IFERROR(IF(0=LEN(ReferenceData!$AY$6),"",ReferenceData!$AY$6),"")</f>
        <v>7.5311724760000001</v>
      </c>
      <c r="AZ6">
        <f ca="1">IFERROR(IF(0=LEN(ReferenceData!$AZ$6),"",ReferenceData!$AZ$6),"")</f>
        <v>8.0389464030000006</v>
      </c>
      <c r="BA6">
        <f ca="1">IFERROR(IF(0=LEN(ReferenceData!$BA$6),"",ReferenceData!$BA$6),"")</f>
        <v>7.1071261659999996</v>
      </c>
      <c r="BB6">
        <f ca="1">IFERROR(IF(0=LEN(ReferenceData!$BB$6),"",ReferenceData!$BB$6),"")</f>
        <v>6.7901785390000002</v>
      </c>
      <c r="BC6">
        <f ca="1">IFERROR(IF(0=LEN(ReferenceData!$BC$6),"",ReferenceData!$BC$6),"")</f>
        <v>4.4957354949999999</v>
      </c>
      <c r="BD6">
        <f ca="1">IFERROR(IF(0=LEN(ReferenceData!$BD$6),"",ReferenceData!$BD$6),"")</f>
        <v>2.8280751550000001</v>
      </c>
      <c r="BE6">
        <f ca="1">IFERROR(IF(0=LEN(ReferenceData!$BE$6),"",ReferenceData!$BE$6),"")</f>
        <v>1.4546739550000001</v>
      </c>
      <c r="BF6">
        <f ca="1">IFERROR(IF(0=LEN(ReferenceData!$BF$6),"",ReferenceData!$BF$6),"")</f>
        <v>0.31012634900000002</v>
      </c>
      <c r="BG6">
        <f ca="1">IFERROR(IF(0=LEN(ReferenceData!$BG$6),"",ReferenceData!$BG$6),"")</f>
        <v>-0.753548475</v>
      </c>
      <c r="BH6">
        <f ca="1">IFERROR(IF(0=LEN(ReferenceData!$BH$6),"",ReferenceData!$BH$6),"")</f>
        <v>-1.6327494259999999</v>
      </c>
      <c r="BI6">
        <f ca="1">IFERROR(IF(0=LEN(ReferenceData!$BI$6),"",ReferenceData!$BI$6),"")</f>
        <v>-1.6337791420000001</v>
      </c>
      <c r="BJ6">
        <f ca="1">IFERROR(IF(0=LEN(ReferenceData!$BJ$6),"",ReferenceData!$BJ$6),"")</f>
        <v>-3.5906114250000001</v>
      </c>
      <c r="BK6">
        <f ca="1">IFERROR(IF(0=LEN(ReferenceData!$BK$6),"",ReferenceData!$BK$6),"")</f>
        <v>-4.565061107</v>
      </c>
      <c r="BL6">
        <f ca="1">IFERROR(IF(0=LEN(ReferenceData!$BL$6),"",ReferenceData!$BL$6),"")</f>
        <v>-5.6301499770000003</v>
      </c>
      <c r="BM6">
        <f ca="1">IFERROR(IF(0=LEN(ReferenceData!$BM$6),"",ReferenceData!$BM$6),"")</f>
        <v>-7.7995528180000004</v>
      </c>
    </row>
    <row r="7" spans="1:65">
      <c r="A7" t="str">
        <f>IFERROR(IF(0=LEN(ReferenceData!$A$7),"",ReferenceData!$A$7),"")</f>
        <v>住宅房地产投资信托数据 - 住宅房地产投资信托总股利支付</v>
      </c>
      <c r="B7" t="str">
        <f>IFERROR(IF(0=LEN(ReferenceData!$B$7),"",ReferenceData!$B$7),"")</f>
        <v>RECFTDRS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动态</v>
      </c>
      <c r="F7">
        <f ca="1">IFERROR(IF(0=LEN(ReferenceData!$F$7),"",ReferenceData!$F$7),"")</f>
        <v>1262.0165119999999</v>
      </c>
      <c r="G7">
        <f ca="1">IFERROR(IF(0=LEN(ReferenceData!$G$7),"",ReferenceData!$G$7),"")</f>
        <v>1267.269</v>
      </c>
      <c r="H7">
        <f ca="1">IFERROR(IF(0=LEN(ReferenceData!$H$7),"",ReferenceData!$H$7),"")</f>
        <v>1217.9159999999999</v>
      </c>
      <c r="I7">
        <f ca="1">IFERROR(IF(0=LEN(ReferenceData!$I$7),"",ReferenceData!$I$7),"")</f>
        <v>1151.943</v>
      </c>
      <c r="J7">
        <f ca="1">IFERROR(IF(0=LEN(ReferenceData!$J$7),"",ReferenceData!$J$7),"")</f>
        <v>2238.2809999999999</v>
      </c>
      <c r="K7">
        <f ca="1">IFERROR(IF(0=LEN(ReferenceData!$K$7),"",ReferenceData!$K$7),"")</f>
        <v>1526.346</v>
      </c>
      <c r="L7">
        <f ca="1">IFERROR(IF(0=LEN(ReferenceData!$L$7),"",ReferenceData!$L$7),"")</f>
        <v>1090.8209999999999</v>
      </c>
      <c r="M7">
        <f ca="1">IFERROR(IF(0=LEN(ReferenceData!$M$7),"",ReferenceData!$M$7),"")</f>
        <v>4083.9560000000001</v>
      </c>
      <c r="N7">
        <f ca="1">IFERROR(IF(0=LEN(ReferenceData!$N$7),"",ReferenceData!$N$7),"")</f>
        <v>1021.991</v>
      </c>
      <c r="O7">
        <f ca="1">IFERROR(IF(0=LEN(ReferenceData!$O$7),"",ReferenceData!$O$7),"")</f>
        <v>1002.208</v>
      </c>
      <c r="P7">
        <f ca="1">IFERROR(IF(0=LEN(ReferenceData!$P$7),"",ReferenceData!$P$7),"")</f>
        <v>1066.7470000000001</v>
      </c>
      <c r="Q7">
        <f ca="1">IFERROR(IF(0=LEN(ReferenceData!$Q$7),"",ReferenceData!$Q$7),"")</f>
        <v>996.202</v>
      </c>
      <c r="R7">
        <f ca="1">IFERROR(IF(0=LEN(ReferenceData!$R$7),"",ReferenceData!$R$7),"")</f>
        <v>963.899</v>
      </c>
      <c r="S7">
        <f ca="1">IFERROR(IF(0=LEN(ReferenceData!$S$7),"",ReferenceData!$S$7),"")</f>
        <v>951.91700000000003</v>
      </c>
      <c r="T7">
        <f ca="1">IFERROR(IF(0=LEN(ReferenceData!$T$7),"",ReferenceData!$T$7),"")</f>
        <v>824.80200000000002</v>
      </c>
      <c r="U7">
        <f ca="1">IFERROR(IF(0=LEN(ReferenceData!$U$7),"",ReferenceData!$U$7),"")</f>
        <v>956.75900000000001</v>
      </c>
      <c r="V7">
        <f ca="1">IFERROR(IF(0=LEN(ReferenceData!$V$7),"",ReferenceData!$V$7),"")</f>
        <v>812.40300000000002</v>
      </c>
      <c r="W7">
        <f ca="1">IFERROR(IF(0=LEN(ReferenceData!$W$7),"",ReferenceData!$W$7),"")</f>
        <v>784.28700000000003</v>
      </c>
      <c r="X7">
        <f ca="1">IFERROR(IF(0=LEN(ReferenceData!$X$7),"",ReferenceData!$X$7),"")</f>
        <v>774.10599999999999</v>
      </c>
      <c r="Y7">
        <f ca="1">IFERROR(IF(0=LEN(ReferenceData!$Y$7),"",ReferenceData!$Y$7),"")</f>
        <v>814.28399999999999</v>
      </c>
      <c r="Z7">
        <f ca="1">IFERROR(IF(0=LEN(ReferenceData!$Z$7),"",ReferenceData!$Z$7),"")</f>
        <v>674.13699999999994</v>
      </c>
      <c r="AA7">
        <f ca="1">IFERROR(IF(0=LEN(ReferenceData!$AA$7),"",ReferenceData!$AA$7),"")</f>
        <v>639.63300000000004</v>
      </c>
      <c r="AB7">
        <f ca="1">IFERROR(IF(0=LEN(ReferenceData!$AB$7),"",ReferenceData!$AB$7),"")</f>
        <v>623.61099999999999</v>
      </c>
      <c r="AC7">
        <f ca="1">IFERROR(IF(0=LEN(ReferenceData!$AC$7),"",ReferenceData!$AC$7),"")</f>
        <v>661.76400000000001</v>
      </c>
      <c r="AD7">
        <f ca="1">IFERROR(IF(0=LEN(ReferenceData!$AD$7),"",ReferenceData!$AD$7),"")</f>
        <v>564.46199999999999</v>
      </c>
      <c r="AE7">
        <f ca="1">IFERROR(IF(0=LEN(ReferenceData!$AE$7),"",ReferenceData!$AE$7),"")</f>
        <v>551.97500000000002</v>
      </c>
      <c r="AF7">
        <f ca="1">IFERROR(IF(0=LEN(ReferenceData!$AF$7),"",ReferenceData!$AF$7),"")</f>
        <v>525.04200000000003</v>
      </c>
      <c r="AG7">
        <f ca="1">IFERROR(IF(0=LEN(ReferenceData!$AG$7),"",ReferenceData!$AG$7),"")</f>
        <v>544.89700000000005</v>
      </c>
      <c r="AH7">
        <f ca="1">IFERROR(IF(0=LEN(ReferenceData!$AH$7),"",ReferenceData!$AH$7),"")</f>
        <v>495.00099999999998</v>
      </c>
      <c r="AI7">
        <f ca="1">IFERROR(IF(0=LEN(ReferenceData!$AI$7),"",ReferenceData!$AI$7),"")</f>
        <v>489.94799999999998</v>
      </c>
      <c r="AJ7">
        <f ca="1">IFERROR(IF(0=LEN(ReferenceData!$AJ$7),"",ReferenceData!$AJ$7),"")</f>
        <v>485.04599999999999</v>
      </c>
      <c r="AK7">
        <f ca="1">IFERROR(IF(0=LEN(ReferenceData!$AK$7),"",ReferenceData!$AK$7),"")</f>
        <v>468.86</v>
      </c>
      <c r="AL7">
        <f ca="1">IFERROR(IF(0=LEN(ReferenceData!$AL$7),"",ReferenceData!$AL$7),"")</f>
        <v>482.54599999999999</v>
      </c>
      <c r="AM7">
        <f ca="1">IFERROR(IF(0=LEN(ReferenceData!$AM$7),"",ReferenceData!$AM$7),"")</f>
        <v>510.69400000000002</v>
      </c>
      <c r="AN7">
        <f ca="1">IFERROR(IF(0=LEN(ReferenceData!$AN$7),"",ReferenceData!$AN$7),"")</f>
        <v>549.096</v>
      </c>
      <c r="AO7">
        <f ca="1">IFERROR(IF(0=LEN(ReferenceData!$AO$7),"",ReferenceData!$AO$7),"")</f>
        <v>635.30899999999997</v>
      </c>
      <c r="AP7">
        <f ca="1">IFERROR(IF(0=LEN(ReferenceData!$AP$7),"",ReferenceData!$AP$7),"")</f>
        <v>706.91849999999999</v>
      </c>
      <c r="AQ7">
        <f ca="1">IFERROR(IF(0=LEN(ReferenceData!$AQ$7),"",ReferenceData!$AQ$7),"")</f>
        <v>693.24900000000002</v>
      </c>
      <c r="AR7">
        <f ca="1">IFERROR(IF(0=LEN(ReferenceData!$AR$7),"",ReferenceData!$AR$7),"")</f>
        <v>664.80499999999995</v>
      </c>
      <c r="AS7">
        <f ca="1">IFERROR(IF(0=LEN(ReferenceData!$AS$7),"",ReferenceData!$AS$7),"")</f>
        <v>644.01499999999999</v>
      </c>
      <c r="AT7">
        <f ca="1">IFERROR(IF(0=LEN(ReferenceData!$AT$7),"",ReferenceData!$AT$7),"")</f>
        <v>725.55</v>
      </c>
      <c r="AU7">
        <f ca="1">IFERROR(IF(0=LEN(ReferenceData!$AU$7),"",ReferenceData!$AU$7),"")</f>
        <v>662.58799999999997</v>
      </c>
      <c r="AV7">
        <f ca="1">IFERROR(IF(0=LEN(ReferenceData!$AV$7),"",ReferenceData!$AV$7),"")</f>
        <v>738.89700000000005</v>
      </c>
      <c r="AW7">
        <f ca="1">IFERROR(IF(0=LEN(ReferenceData!$AW$7),"",ReferenceData!$AW$7),"")</f>
        <v>775.27499999999998</v>
      </c>
      <c r="AX7">
        <f ca="1">IFERROR(IF(0=LEN(ReferenceData!$AX$7),"",ReferenceData!$AX$7),"")</f>
        <v>698.904</v>
      </c>
      <c r="AY7">
        <f ca="1">IFERROR(IF(0=LEN(ReferenceData!$AY$7),"",ReferenceData!$AY$7),"")</f>
        <v>711.34799999999996</v>
      </c>
      <c r="AZ7">
        <f ca="1">IFERROR(IF(0=LEN(ReferenceData!$AZ$7),"",ReferenceData!$AZ$7),"")</f>
        <v>721.149</v>
      </c>
      <c r="BA7">
        <f ca="1">IFERROR(IF(0=LEN(ReferenceData!$BA$7),"",ReferenceData!$BA$7),"")</f>
        <v>705.702</v>
      </c>
      <c r="BB7">
        <f ca="1">IFERROR(IF(0=LEN(ReferenceData!$BB$7),"",ReferenceData!$BB$7),"")</f>
        <v>702.67</v>
      </c>
      <c r="BC7">
        <f ca="1">IFERROR(IF(0=LEN(ReferenceData!$BC$7),"",ReferenceData!$BC$7),"")</f>
        <v>723.19200000000001</v>
      </c>
      <c r="BD7">
        <f ca="1">IFERROR(IF(0=LEN(ReferenceData!$BD$7),"",ReferenceData!$BD$7),"")</f>
        <v>707.66200000000003</v>
      </c>
      <c r="BE7">
        <f ca="1">IFERROR(IF(0=LEN(ReferenceData!$BE$7),"",ReferenceData!$BE$7),"")</f>
        <v>744.84</v>
      </c>
      <c r="BF7">
        <f ca="1">IFERROR(IF(0=LEN(ReferenceData!$BF$7),"",ReferenceData!$BF$7),"")</f>
        <v>949.76199999999994</v>
      </c>
      <c r="BG7">
        <f ca="1">IFERROR(IF(0=LEN(ReferenceData!$BG$7),"",ReferenceData!$BG$7),"")</f>
        <v>737.65499999999997</v>
      </c>
      <c r="BH7">
        <f ca="1">IFERROR(IF(0=LEN(ReferenceData!$BH$7),"",ReferenceData!$BH$7),"")</f>
        <v>743.73900000000003</v>
      </c>
      <c r="BI7">
        <f ca="1">IFERROR(IF(0=LEN(ReferenceData!$BI$7),"",ReferenceData!$BI$7),"")</f>
        <v>929.78300000000002</v>
      </c>
      <c r="BJ7">
        <f ca="1">IFERROR(IF(0=LEN(ReferenceData!$BJ$7),"",ReferenceData!$BJ$7),"")</f>
        <v>814.67499999999995</v>
      </c>
      <c r="BK7">
        <f ca="1">IFERROR(IF(0=LEN(ReferenceData!$BK$7),"",ReferenceData!$BK$7),"")</f>
        <v>724.26700000000005</v>
      </c>
      <c r="BL7">
        <f ca="1">IFERROR(IF(0=LEN(ReferenceData!$BL$7),"",ReferenceData!$BL$7),"")</f>
        <v>742.005</v>
      </c>
      <c r="BM7">
        <f ca="1">IFERROR(IF(0=LEN(ReferenceData!$BM$7),"",ReferenceData!$BM$7),"")</f>
        <v>751.476</v>
      </c>
    </row>
    <row r="8" spans="1:65">
      <c r="A8" t="str">
        <f>IFERROR(IF(0=LEN(ReferenceData!$A$8),"",ReferenceData!$A$8),"")</f>
        <v>公寓房地产投资信托数据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静态</v>
      </c>
      <c r="F8" t="str">
        <f ca="1">IFERROR(IF(0=LEN(ReferenceData!$F$8),"",ReferenceData!$F$8),"")</f>
        <v/>
      </c>
      <c r="G8" t="str">
        <f ca="1">IFERROR(IF(0=LEN(ReferenceData!$G$8),"",ReferenceData!$G$8),"")</f>
        <v/>
      </c>
      <c r="H8" t="str">
        <f ca="1">IFERROR(IF(0=LEN(ReferenceData!$H$8),"",ReferenceData!$H$8),"")</f>
        <v/>
      </c>
      <c r="I8" t="str">
        <f ca="1">IFERROR(IF(0=LEN(ReferenceData!$I$8),"",ReferenceData!$I$8),"")</f>
        <v/>
      </c>
      <c r="J8" t="str">
        <f ca="1">IFERROR(IF(0=LEN(ReferenceData!$J$8),"",ReferenceData!$J$8),"")</f>
        <v/>
      </c>
      <c r="K8" t="str">
        <f ca="1">IFERROR(IF(0=LEN(ReferenceData!$K$8),"",ReferenceData!$K$8),"")</f>
        <v/>
      </c>
      <c r="L8" t="str">
        <f ca="1">IFERROR(IF(0=LEN(ReferenceData!$L$8),"",ReferenceData!$L$8),"")</f>
        <v/>
      </c>
      <c r="M8" t="str">
        <f ca="1">IFERROR(IF(0=LEN(ReferenceData!$M$8),"",ReferenceData!$M$8),"")</f>
        <v/>
      </c>
      <c r="N8" t="str">
        <f ca="1">IFERROR(IF(0=LEN(ReferenceData!$N$8),"",ReferenceData!$N$8),"")</f>
        <v/>
      </c>
      <c r="O8" t="str">
        <f ca="1">IFERROR(IF(0=LEN(ReferenceData!$O$8),"",ReferenceData!$O$8),"")</f>
        <v/>
      </c>
      <c r="P8" t="str">
        <f ca="1">IFERROR(IF(0=LEN(ReferenceData!$P$8),"",ReferenceData!$P$8),"")</f>
        <v/>
      </c>
      <c r="Q8" t="str">
        <f ca="1">IFERROR(IF(0=LEN(ReferenceData!$Q$8),"",ReferenceData!$Q$8),"")</f>
        <v/>
      </c>
      <c r="R8" t="str">
        <f ca="1">IFERROR(IF(0=LEN(ReferenceData!$R$8),"",ReferenceData!$R$8),"")</f>
        <v/>
      </c>
      <c r="S8" t="str">
        <f ca="1">IFERROR(IF(0=LEN(ReferenceData!$S$8),"",ReferenceData!$S$8),"")</f>
        <v/>
      </c>
      <c r="T8" t="str">
        <f ca="1">IFERROR(IF(0=LEN(ReferenceData!$T$8),"",ReferenceData!$T$8),"")</f>
        <v/>
      </c>
      <c r="U8" t="str">
        <f ca="1">IFERROR(IF(0=LEN(ReferenceData!$U$8),"",ReferenceData!$U$8),"")</f>
        <v/>
      </c>
      <c r="V8" t="str">
        <f ca="1">IFERROR(IF(0=LEN(ReferenceData!$V$8),"",ReferenceData!$V$8),"")</f>
        <v/>
      </c>
      <c r="W8" t="str">
        <f ca="1">IFERROR(IF(0=LEN(ReferenceData!$W$8),"",ReferenceData!$W$8),"")</f>
        <v/>
      </c>
      <c r="X8" t="str">
        <f ca="1">IFERROR(IF(0=LEN(ReferenceData!$X$8),"",ReferenceData!$X$8),"")</f>
        <v/>
      </c>
      <c r="Y8" t="str">
        <f ca="1">IFERROR(IF(0=LEN(ReferenceData!$Y$8),"",ReferenceData!$Y$8),"")</f>
        <v/>
      </c>
      <c r="Z8" t="str">
        <f ca="1">IFERROR(IF(0=LEN(ReferenceData!$Z$8),"",ReferenceData!$Z$8),"")</f>
        <v/>
      </c>
      <c r="AA8" t="str">
        <f ca="1">IFERROR(IF(0=LEN(ReferenceData!$AA$8),"",ReferenceData!$AA$8),"")</f>
        <v/>
      </c>
      <c r="AB8" t="str">
        <f ca="1">IFERROR(IF(0=LEN(ReferenceData!$AB$8),"",ReferenceData!$AB$8),"")</f>
        <v/>
      </c>
      <c r="AC8" t="str">
        <f ca="1">IFERROR(IF(0=LEN(ReferenceData!$AC$8),"",ReferenceData!$AC$8),"")</f>
        <v/>
      </c>
      <c r="AD8" t="str">
        <f ca="1">IFERROR(IF(0=LEN(ReferenceData!$AD$8),"",ReferenceData!$AD$8),"")</f>
        <v/>
      </c>
      <c r="AE8" t="str">
        <f ca="1">IFERROR(IF(0=LEN(ReferenceData!$AE$8),"",ReferenceData!$AE$8),"")</f>
        <v/>
      </c>
      <c r="AF8" t="str">
        <f ca="1">IFERROR(IF(0=LEN(ReferenceData!$AF$8),"",ReferenceData!$AF$8),"")</f>
        <v/>
      </c>
      <c r="AG8" t="str">
        <f ca="1">IFERROR(IF(0=LEN(ReferenceData!$AG$8),"",ReferenceData!$AG$8),"")</f>
        <v/>
      </c>
      <c r="AH8" t="str">
        <f ca="1">IFERROR(IF(0=LEN(ReferenceData!$AH$8),"",ReferenceData!$AH$8),"")</f>
        <v/>
      </c>
      <c r="AI8" t="str">
        <f ca="1">IFERROR(IF(0=LEN(ReferenceData!$AI$8),"",ReferenceData!$AI$8),"")</f>
        <v/>
      </c>
      <c r="AJ8" t="str">
        <f ca="1">IFERROR(IF(0=LEN(ReferenceData!$AJ$8),"",ReferenceData!$AJ$8),"")</f>
        <v/>
      </c>
      <c r="AK8" t="str">
        <f ca="1">IFERROR(IF(0=LEN(ReferenceData!$AK$8),"",ReferenceData!$AK$8),"")</f>
        <v/>
      </c>
      <c r="AL8" t="str">
        <f ca="1">IFERROR(IF(0=LEN(ReferenceData!$AL$8),"",ReferenceData!$AL$8),"")</f>
        <v/>
      </c>
      <c r="AM8" t="str">
        <f ca="1">IFERROR(IF(0=LEN(ReferenceData!$AM$8),"",ReferenceData!$AM$8),"")</f>
        <v/>
      </c>
      <c r="AN8" t="str">
        <f ca="1">IFERROR(IF(0=LEN(ReferenceData!$AN$8),"",ReferenceData!$AN$8),"")</f>
        <v/>
      </c>
      <c r="AO8" t="str">
        <f ca="1">IFERROR(IF(0=LEN(ReferenceData!$AO$8),"",ReferenceData!$AO$8),"")</f>
        <v/>
      </c>
      <c r="AP8" t="str">
        <f ca="1">IFERROR(IF(0=LEN(ReferenceData!$AP$8),"",ReferenceData!$AP$8),"")</f>
        <v/>
      </c>
      <c r="AQ8" t="str">
        <f ca="1">IFERROR(IF(0=LEN(ReferenceData!$AQ$8),"",ReferenceData!$AQ$8),"")</f>
        <v/>
      </c>
      <c r="AR8" t="str">
        <f ca="1">IFERROR(IF(0=LEN(ReferenceData!$AR$8),"",ReferenceData!$AR$8),"")</f>
        <v/>
      </c>
      <c r="AS8" t="str">
        <f ca="1">IFERROR(IF(0=LEN(ReferenceData!$AS$8),"",ReferenceData!$AS$8),"")</f>
        <v/>
      </c>
      <c r="AT8" t="str">
        <f ca="1">IFERROR(IF(0=LEN(ReferenceData!$AT$8),"",ReferenceData!$AT$8),"")</f>
        <v/>
      </c>
      <c r="AU8" t="str">
        <f ca="1">IFERROR(IF(0=LEN(ReferenceData!$AU$8),"",ReferenceData!$AU$8),"")</f>
        <v/>
      </c>
      <c r="AV8" t="str">
        <f ca="1">IFERROR(IF(0=LEN(ReferenceData!$AV$8),"",ReferenceData!$AV$8),"")</f>
        <v/>
      </c>
      <c r="AW8" t="str">
        <f ca="1">IFERROR(IF(0=LEN(ReferenceData!$AW$8),"",ReferenceData!$AW$8),"")</f>
        <v/>
      </c>
      <c r="AX8" t="str">
        <f ca="1">IFERROR(IF(0=LEN(ReferenceData!$AX$8),"",ReferenceData!$AX$8),"")</f>
        <v/>
      </c>
      <c r="AY8" t="str">
        <f ca="1">IFERROR(IF(0=LEN(ReferenceData!$AY$8),"",ReferenceData!$AY$8),"")</f>
        <v/>
      </c>
      <c r="AZ8" t="str">
        <f ca="1">IFERROR(IF(0=LEN(ReferenceData!$AZ$8),"",ReferenceData!$AZ$8),"")</f>
        <v/>
      </c>
      <c r="BA8" t="str">
        <f ca="1">IFERROR(IF(0=LEN(ReferenceData!$BA$8),"",ReferenceData!$BA$8),"")</f>
        <v/>
      </c>
      <c r="BB8" t="str">
        <f ca="1">IFERROR(IF(0=LEN(ReferenceData!$BB$8),"",ReferenceData!$BB$8),"")</f>
        <v/>
      </c>
      <c r="BC8" t="str">
        <f ca="1">IFERROR(IF(0=LEN(ReferenceData!$BC$8),"",ReferenceData!$BC$8),"")</f>
        <v/>
      </c>
      <c r="BD8" t="str">
        <f ca="1">IFERROR(IF(0=LEN(ReferenceData!$BD$8),"",ReferenceData!$BD$8),"")</f>
        <v/>
      </c>
      <c r="BE8" t="str">
        <f ca="1">IFERROR(IF(0=LEN(ReferenceData!$BE$8),"",ReferenceData!$BE$8),"")</f>
        <v/>
      </c>
      <c r="BF8" t="str">
        <f ca="1">IFERROR(IF(0=LEN(ReferenceData!$BF$8),"",ReferenceData!$BF$8),"")</f>
        <v/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  <c r="BM8" t="str">
        <f ca="1">IFERROR(IF(0=LEN(ReferenceData!$BM$8),"",ReferenceData!$BM$8),"")</f>
        <v/>
      </c>
    </row>
    <row r="9" spans="1:65">
      <c r="A9" t="str">
        <f>IFERROR(IF(0=LEN(ReferenceData!$A$9),"",ReferenceData!$A$9),"")</f>
        <v xml:space="preserve">    公寓房地产投资信托总营运现金流</v>
      </c>
      <c r="B9" t="str">
        <f>IFERROR(IF(0=LEN(ReferenceData!$B$9),"",ReferenceData!$B$9),"")</f>
        <v>RECFFOAP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动态</v>
      </c>
      <c r="F9">
        <f ca="1">IFERROR(IF(0=LEN(ReferenceData!$F$9),"",ReferenceData!$F$9),"")</f>
        <v>1504.492667</v>
      </c>
      <c r="G9">
        <f ca="1">IFERROR(IF(0=LEN(ReferenceData!$G$9),"",ReferenceData!$G$9),"")</f>
        <v>1462.5350000000001</v>
      </c>
      <c r="H9">
        <f ca="1">IFERROR(IF(0=LEN(ReferenceData!$H$9),"",ReferenceData!$H$9),"")</f>
        <v>1396.325</v>
      </c>
      <c r="I9">
        <f ca="1">IFERROR(IF(0=LEN(ReferenceData!$I$9),"",ReferenceData!$I$9),"")</f>
        <v>1435.0440000000001</v>
      </c>
      <c r="J9">
        <f ca="1">IFERROR(IF(0=LEN(ReferenceData!$J$9),"",ReferenceData!$J$9),"")</f>
        <v>1343.585</v>
      </c>
      <c r="K9">
        <f ca="1">IFERROR(IF(0=LEN(ReferenceData!$K$9),"",ReferenceData!$K$9),"")</f>
        <v>1378.521</v>
      </c>
      <c r="L9">
        <f ca="1">IFERROR(IF(0=LEN(ReferenceData!$L$9),"",ReferenceData!$L$9),"")</f>
        <v>1435.962</v>
      </c>
      <c r="M9">
        <f ca="1">IFERROR(IF(0=LEN(ReferenceData!$M$9),"",ReferenceData!$M$9),"")</f>
        <v>1269.0440000000001</v>
      </c>
      <c r="N9">
        <f ca="1">IFERROR(IF(0=LEN(ReferenceData!$N$9),"",ReferenceData!$N$9),"")</f>
        <v>1424.223</v>
      </c>
      <c r="O9">
        <f ca="1">IFERROR(IF(0=LEN(ReferenceData!$O$9),"",ReferenceData!$O$9),"")</f>
        <v>1354.9079999999999</v>
      </c>
      <c r="P9">
        <f ca="1">IFERROR(IF(0=LEN(ReferenceData!$P$9),"",ReferenceData!$P$9),"")</f>
        <v>1471.915</v>
      </c>
      <c r="Q9">
        <f ca="1">IFERROR(IF(0=LEN(ReferenceData!$Q$9),"",ReferenceData!$Q$9),"")</f>
        <v>1366.0319999999999</v>
      </c>
      <c r="R9">
        <f ca="1">IFERROR(IF(0=LEN(ReferenceData!$R$9),"",ReferenceData!$R$9),"")</f>
        <v>1331.867</v>
      </c>
      <c r="S9">
        <f ca="1">IFERROR(IF(0=LEN(ReferenceData!$S$9),"",ReferenceData!$S$9),"")</f>
        <v>1186.0740000000001</v>
      </c>
      <c r="T9">
        <f ca="1">IFERROR(IF(0=LEN(ReferenceData!$T$9),"",ReferenceData!$T$9),"")</f>
        <v>1207.511</v>
      </c>
      <c r="U9">
        <f ca="1">IFERROR(IF(0=LEN(ReferenceData!$U$9),"",ReferenceData!$U$9),"")</f>
        <v>1126.8969999999999</v>
      </c>
      <c r="V9">
        <f ca="1">IFERROR(IF(0=LEN(ReferenceData!$V$9),"",ReferenceData!$V$9),"")</f>
        <v>1172.95</v>
      </c>
      <c r="W9">
        <f ca="1">IFERROR(IF(0=LEN(ReferenceData!$W$9),"",ReferenceData!$W$9),"")</f>
        <v>1054.115</v>
      </c>
      <c r="X9">
        <f ca="1">IFERROR(IF(0=LEN(ReferenceData!$X$9),"",ReferenceData!$X$9),"")</f>
        <v>1147.1880000000001</v>
      </c>
      <c r="Y9">
        <f ca="1">IFERROR(IF(0=LEN(ReferenceData!$Y$9),"",ReferenceData!$Y$9),"")</f>
        <v>844.13800000000003</v>
      </c>
      <c r="Z9">
        <f ca="1">IFERROR(IF(0=LEN(ReferenceData!$Z$9),"",ReferenceData!$Z$9),"")</f>
        <v>1057.367</v>
      </c>
      <c r="AA9">
        <f ca="1">IFERROR(IF(0=LEN(ReferenceData!$AA$9),"",ReferenceData!$AA$9),"")</f>
        <v>1002.796</v>
      </c>
      <c r="AB9">
        <f ca="1">IFERROR(IF(0=LEN(ReferenceData!$AB$9),"",ReferenceData!$AB$9),"")</f>
        <v>892.86</v>
      </c>
      <c r="AC9">
        <f ca="1">IFERROR(IF(0=LEN(ReferenceData!$AC$9),"",ReferenceData!$AC$9),"")</f>
        <v>878.60400000000004</v>
      </c>
      <c r="AD9">
        <f ca="1">IFERROR(IF(0=LEN(ReferenceData!$AD$9),"",ReferenceData!$AD$9),"")</f>
        <v>828.298</v>
      </c>
      <c r="AE9">
        <f ca="1">IFERROR(IF(0=LEN(ReferenceData!$AE$9),"",ReferenceData!$AE$9),"")</f>
        <v>761.26599999999996</v>
      </c>
      <c r="AF9">
        <f ca="1">IFERROR(IF(0=LEN(ReferenceData!$AF$9),"",ReferenceData!$AF$9),"")</f>
        <v>681.20500000000004</v>
      </c>
      <c r="AG9">
        <f ca="1">IFERROR(IF(0=LEN(ReferenceData!$AG$9),"",ReferenceData!$AG$9),"")</f>
        <v>694.19899999999996</v>
      </c>
      <c r="AH9">
        <f ca="1">IFERROR(IF(0=LEN(ReferenceData!$AH$9),"",ReferenceData!$AH$9),"")</f>
        <v>602.43299999999999</v>
      </c>
      <c r="AI9">
        <f ca="1">IFERROR(IF(0=LEN(ReferenceData!$AI$9),"",ReferenceData!$AI$9),"")</f>
        <v>605.22799999999995</v>
      </c>
      <c r="AJ9">
        <f ca="1">IFERROR(IF(0=LEN(ReferenceData!$AJ$9),"",ReferenceData!$AJ$9),"")</f>
        <v>584.18600000000004</v>
      </c>
      <c r="AK9">
        <f ca="1">IFERROR(IF(0=LEN(ReferenceData!$AK$9),"",ReferenceData!$AK$9),"")</f>
        <v>571.45699999999999</v>
      </c>
      <c r="AL9">
        <f ca="1">IFERROR(IF(0=LEN(ReferenceData!$AL$9),"",ReferenceData!$AL$9),"")</f>
        <v>403.834</v>
      </c>
      <c r="AM9">
        <f ca="1">IFERROR(IF(0=LEN(ReferenceData!$AM$9),"",ReferenceData!$AM$9),"")</f>
        <v>565.20299999999997</v>
      </c>
      <c r="AN9">
        <f ca="1">IFERROR(IF(0=LEN(ReferenceData!$AN$9),"",ReferenceData!$AN$9),"")</f>
        <v>542.58299999999997</v>
      </c>
      <c r="AO9">
        <f ca="1">IFERROR(IF(0=LEN(ReferenceData!$AO$9),"",ReferenceData!$AO$9),"")</f>
        <v>711.97500000000002</v>
      </c>
      <c r="AP9">
        <f ca="1">IFERROR(IF(0=LEN(ReferenceData!$AP$9),"",ReferenceData!$AP$9),"")</f>
        <v>181.00299999999999</v>
      </c>
      <c r="AQ9">
        <f ca="1">IFERROR(IF(0=LEN(ReferenceData!$AQ$9),"",ReferenceData!$AQ$9),"")</f>
        <v>668.58199999999999</v>
      </c>
      <c r="AR9">
        <f ca="1">IFERROR(IF(0=LEN(ReferenceData!$AR$9),"",ReferenceData!$AR$9),"")</f>
        <v>664.68799999999999</v>
      </c>
      <c r="AS9">
        <f ca="1">IFERROR(IF(0=LEN(ReferenceData!$AS$9),"",ReferenceData!$AS$9),"")</f>
        <v>680.52599999999995</v>
      </c>
      <c r="AT9">
        <f ca="1">IFERROR(IF(0=LEN(ReferenceData!$AT$9),"",ReferenceData!$AT$9),"")</f>
        <v>718.56349999999998</v>
      </c>
      <c r="AU9">
        <f ca="1">IFERROR(IF(0=LEN(ReferenceData!$AU$9),"",ReferenceData!$AU$9),"")</f>
        <v>678.24599999999998</v>
      </c>
      <c r="AV9">
        <f ca="1">IFERROR(IF(0=LEN(ReferenceData!$AV$9),"",ReferenceData!$AV$9),"")</f>
        <v>817.51099999999997</v>
      </c>
      <c r="AW9">
        <f ca="1">IFERROR(IF(0=LEN(ReferenceData!$AW$9),"",ReferenceData!$AW$9),"")</f>
        <v>789.09400000000005</v>
      </c>
      <c r="AX9">
        <f ca="1">IFERROR(IF(0=LEN(ReferenceData!$AX$9),"",ReferenceData!$AX$9),"")</f>
        <v>760.87900000000002</v>
      </c>
      <c r="AY9">
        <f ca="1">IFERROR(IF(0=LEN(ReferenceData!$AY$9),"",ReferenceData!$AY$9),"")</f>
        <v>802.28300000000002</v>
      </c>
      <c r="AZ9">
        <f ca="1">IFERROR(IF(0=LEN(ReferenceData!$AZ$9),"",ReferenceData!$AZ$9),"")</f>
        <v>833.79399999999998</v>
      </c>
      <c r="BA9">
        <f ca="1">IFERROR(IF(0=LEN(ReferenceData!$BA$9),"",ReferenceData!$BA$9),"")</f>
        <v>783.17700000000002</v>
      </c>
      <c r="BB9">
        <f ca="1">IFERROR(IF(0=LEN(ReferenceData!$BB$9),"",ReferenceData!$BB$9),"")</f>
        <v>773.36199999999997</v>
      </c>
      <c r="BC9">
        <f ca="1">IFERROR(IF(0=LEN(ReferenceData!$BC$9),"",ReferenceData!$BC$9),"")</f>
        <v>758.33900000000006</v>
      </c>
      <c r="BD9">
        <f ca="1">IFERROR(IF(0=LEN(ReferenceData!$BD$9),"",ReferenceData!$BD$9),"")</f>
        <v>741.14800000000002</v>
      </c>
      <c r="BE9">
        <f ca="1">IFERROR(IF(0=LEN(ReferenceData!$BE$9),"",ReferenceData!$BE$9),"")</f>
        <v>778.15300000000002</v>
      </c>
      <c r="BF9">
        <f ca="1">IFERROR(IF(0=LEN(ReferenceData!$BF$9),"",ReferenceData!$BF$9),"")</f>
        <v>679.495</v>
      </c>
      <c r="BG9">
        <f ca="1">IFERROR(IF(0=LEN(ReferenceData!$BG$9),"",ReferenceData!$BG$9),"")</f>
        <v>721.17949999999996</v>
      </c>
      <c r="BH9">
        <f ca="1">IFERROR(IF(0=LEN(ReferenceData!$BH$9),"",ReferenceData!$BH$9),"")</f>
        <v>716.85</v>
      </c>
      <c r="BI9">
        <f ca="1">IFERROR(IF(0=LEN(ReferenceData!$BI$9),"",ReferenceData!$BI$9),"")</f>
        <v>694.71699999999998</v>
      </c>
      <c r="BJ9">
        <f ca="1">IFERROR(IF(0=LEN(ReferenceData!$BJ$9),"",ReferenceData!$BJ$9),"")</f>
        <v>681.57399999999996</v>
      </c>
      <c r="BK9">
        <f ca="1">IFERROR(IF(0=LEN(ReferenceData!$BK$9),"",ReferenceData!$BK$9),"")</f>
        <v>701.423</v>
      </c>
      <c r="BL9">
        <f ca="1">IFERROR(IF(0=LEN(ReferenceData!$BL$9),"",ReferenceData!$BL$9),"")</f>
        <v>682.61800000000005</v>
      </c>
      <c r="BM9">
        <f ca="1">IFERROR(IF(0=LEN(ReferenceData!$BM$9),"",ReferenceData!$BM$9),"")</f>
        <v>684.40300000000002</v>
      </c>
    </row>
    <row r="10" spans="1:65">
      <c r="A10" t="str">
        <f>IFERROR(IF(0=LEN(ReferenceData!$A$10),"",ReferenceData!$A$10),"")</f>
        <v xml:space="preserve">    公寓房地产投资信托净营业利润</v>
      </c>
      <c r="B10" t="str">
        <f>IFERROR(IF(0=LEN(ReferenceData!$B$10),"",ReferenceData!$B$10),"")</f>
        <v>RECFNOAP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动态</v>
      </c>
      <c r="F10">
        <f ca="1">IFERROR(IF(0=LEN(ReferenceData!$F$10),"",ReferenceData!$F$10),"")</f>
        <v>2141.3017209999998</v>
      </c>
      <c r="G10">
        <f ca="1">IFERROR(IF(0=LEN(ReferenceData!$G$10),"",ReferenceData!$G$10),"")</f>
        <v>2003.3030000000001</v>
      </c>
      <c r="H10">
        <f ca="1">IFERROR(IF(0=LEN(ReferenceData!$H$10),"",ReferenceData!$H$10),"")</f>
        <v>2023.7049999999999</v>
      </c>
      <c r="I10">
        <f ca="1">IFERROR(IF(0=LEN(ReferenceData!$I$10),"",ReferenceData!$I$10),"")</f>
        <v>2012.2619999999999</v>
      </c>
      <c r="J10">
        <f ca="1">IFERROR(IF(0=LEN(ReferenceData!$J$10),"",ReferenceData!$J$10),"")</f>
        <v>1978.77</v>
      </c>
      <c r="K10">
        <f ca="1">IFERROR(IF(0=LEN(ReferenceData!$K$10),"",ReferenceData!$K$10),"")</f>
        <v>1924.7080000000001</v>
      </c>
      <c r="L10">
        <f ca="1">IFERROR(IF(0=LEN(ReferenceData!$L$10),"",ReferenceData!$L$10),"")</f>
        <v>1919.617</v>
      </c>
      <c r="M10">
        <f ca="1">IFERROR(IF(0=LEN(ReferenceData!$M$10),"",ReferenceData!$M$10),"")</f>
        <v>1921.7159999999999</v>
      </c>
      <c r="N10">
        <f ca="1">IFERROR(IF(0=LEN(ReferenceData!$N$10),"",ReferenceData!$N$10),"")</f>
        <v>1986.1179999999999</v>
      </c>
      <c r="O10">
        <f ca="1">IFERROR(IF(0=LEN(ReferenceData!$O$10),"",ReferenceData!$O$10),"")</f>
        <v>1853.348</v>
      </c>
      <c r="P10">
        <f ca="1">IFERROR(IF(0=LEN(ReferenceData!$P$10),"",ReferenceData!$P$10),"")</f>
        <v>2017.0650000000001</v>
      </c>
      <c r="Q10">
        <f ca="1">IFERROR(IF(0=LEN(ReferenceData!$Q$10),"",ReferenceData!$Q$10),"")</f>
        <v>1941.152</v>
      </c>
      <c r="R10">
        <f ca="1">IFERROR(IF(0=LEN(ReferenceData!$R$10),"",ReferenceData!$R$10),"")</f>
        <v>1953.6344999999999</v>
      </c>
      <c r="S10">
        <f ca="1">IFERROR(IF(0=LEN(ReferenceData!$S$10),"",ReferenceData!$S$10),"")</f>
        <v>1817.4929999999999</v>
      </c>
      <c r="T10">
        <f ca="1">IFERROR(IF(0=LEN(ReferenceData!$T$10),"",ReferenceData!$T$10),"")</f>
        <v>1791.0239999999999</v>
      </c>
      <c r="U10">
        <f ca="1">IFERROR(IF(0=LEN(ReferenceData!$U$10),"",ReferenceData!$U$10),"")</f>
        <v>1670.5530000000001</v>
      </c>
      <c r="V10">
        <f ca="1">IFERROR(IF(0=LEN(ReferenceData!$V$10),"",ReferenceData!$V$10),"")</f>
        <v>1775.7729999999999</v>
      </c>
      <c r="W10">
        <f ca="1">IFERROR(IF(0=LEN(ReferenceData!$W$10),"",ReferenceData!$W$10),"")</f>
        <v>1629.01</v>
      </c>
      <c r="X10">
        <f ca="1">IFERROR(IF(0=LEN(ReferenceData!$X$10),"",ReferenceData!$X$10),"")</f>
        <v>1702.7149999999999</v>
      </c>
      <c r="Y10">
        <f ca="1">IFERROR(IF(0=LEN(ReferenceData!$Y$10),"",ReferenceData!$Y$10),"")</f>
        <v>1567.925</v>
      </c>
      <c r="Z10">
        <f ca="1">IFERROR(IF(0=LEN(ReferenceData!$Z$10),"",ReferenceData!$Z$10),"")</f>
        <v>1545.973</v>
      </c>
      <c r="AA10">
        <f ca="1">IFERROR(IF(0=LEN(ReferenceData!$AA$10),"",ReferenceData!$AA$10),"")</f>
        <v>1484.886</v>
      </c>
      <c r="AB10">
        <f ca="1">IFERROR(IF(0=LEN(ReferenceData!$AB$10),"",ReferenceData!$AB$10),"")</f>
        <v>1460.11</v>
      </c>
      <c r="AC10">
        <f ca="1">IFERROR(IF(0=LEN(ReferenceData!$AC$10),"",ReferenceData!$AC$10),"")</f>
        <v>1425.346</v>
      </c>
      <c r="AD10">
        <f ca="1">IFERROR(IF(0=LEN(ReferenceData!$AD$10),"",ReferenceData!$AD$10),"")</f>
        <v>1411.42</v>
      </c>
      <c r="AE10">
        <f ca="1">IFERROR(IF(0=LEN(ReferenceData!$AE$10),"",ReferenceData!$AE$10),"")</f>
        <v>1342.7</v>
      </c>
      <c r="AF10">
        <f ca="1">IFERROR(IF(0=LEN(ReferenceData!$AF$10),"",ReferenceData!$AF$10),"")</f>
        <v>1327.5630000000001</v>
      </c>
      <c r="AG10">
        <f ca="1">IFERROR(IF(0=LEN(ReferenceData!$AG$10),"",ReferenceData!$AG$10),"")</f>
        <v>1293.971</v>
      </c>
      <c r="AH10">
        <f ca="1">IFERROR(IF(0=LEN(ReferenceData!$AH$10),"",ReferenceData!$AH$10),"")</f>
        <v>1282.1400000000001</v>
      </c>
      <c r="AI10">
        <f ca="1">IFERROR(IF(0=LEN(ReferenceData!$AI$10),"",ReferenceData!$AI$10),"")</f>
        <v>1218.6579999999999</v>
      </c>
      <c r="AJ10">
        <f ca="1">IFERROR(IF(0=LEN(ReferenceData!$AJ$10),"",ReferenceData!$AJ$10),"")</f>
        <v>1202.251</v>
      </c>
      <c r="AK10">
        <f ca="1">IFERROR(IF(0=LEN(ReferenceData!$AK$10),"",ReferenceData!$AK$10),"")</f>
        <v>1164.643</v>
      </c>
      <c r="AL10">
        <f ca="1">IFERROR(IF(0=LEN(ReferenceData!$AL$10),"",ReferenceData!$AL$10),"")</f>
        <v>1190.2439999999999</v>
      </c>
      <c r="AM10">
        <f ca="1">IFERROR(IF(0=LEN(ReferenceData!$AM$10),"",ReferenceData!$AM$10),"")</f>
        <v>1176.896</v>
      </c>
      <c r="AN10">
        <f ca="1">IFERROR(IF(0=LEN(ReferenceData!$AN$10),"",ReferenceData!$AN$10),"")</f>
        <v>1233.0719999999999</v>
      </c>
      <c r="AO10">
        <f ca="1">IFERROR(IF(0=LEN(ReferenceData!$AO$10),"",ReferenceData!$AO$10),"")</f>
        <v>1239.9749999999999</v>
      </c>
      <c r="AP10">
        <f ca="1">IFERROR(IF(0=LEN(ReferenceData!$AP$10),"",ReferenceData!$AP$10),"")</f>
        <v>1208.9804999999999</v>
      </c>
      <c r="AQ10">
        <f ca="1">IFERROR(IF(0=LEN(ReferenceData!$AQ$10),"",ReferenceData!$AQ$10),"")</f>
        <v>1235.2149999999999</v>
      </c>
      <c r="AR10">
        <f ca="1">IFERROR(IF(0=LEN(ReferenceData!$AR$10),"",ReferenceData!$AR$10),"")</f>
        <v>1265.6210000000001</v>
      </c>
      <c r="AS10">
        <f ca="1">IFERROR(IF(0=LEN(ReferenceData!$AS$10),"",ReferenceData!$AS$10),"")</f>
        <v>1263.931</v>
      </c>
      <c r="AT10">
        <f ca="1">IFERROR(IF(0=LEN(ReferenceData!$AT$10),"",ReferenceData!$AT$10),"")</f>
        <v>1305.3209999999999</v>
      </c>
      <c r="AU10">
        <f ca="1">IFERROR(IF(0=LEN(ReferenceData!$AU$10),"",ReferenceData!$AU$10),"")</f>
        <v>1285.4780000000001</v>
      </c>
      <c r="AV10">
        <f ca="1">IFERROR(IF(0=LEN(ReferenceData!$AV$10),"",ReferenceData!$AV$10),"")</f>
        <v>1447.394</v>
      </c>
      <c r="AW10">
        <f ca="1">IFERROR(IF(0=LEN(ReferenceData!$AW$10),"",ReferenceData!$AW$10),"")</f>
        <v>1409.61</v>
      </c>
      <c r="AX10">
        <f ca="1">IFERROR(IF(0=LEN(ReferenceData!$AX$10),"",ReferenceData!$AX$10),"")</f>
        <v>1416.9565</v>
      </c>
      <c r="AY10">
        <f ca="1">IFERROR(IF(0=LEN(ReferenceData!$AY$10),"",ReferenceData!$AY$10),"")</f>
        <v>1406.585</v>
      </c>
      <c r="AZ10">
        <f ca="1">IFERROR(IF(0=LEN(ReferenceData!$AZ$10),"",ReferenceData!$AZ$10),"")</f>
        <v>1396.5329999999999</v>
      </c>
      <c r="BA10">
        <f ca="1">IFERROR(IF(0=LEN(ReferenceData!$BA$10),"",ReferenceData!$BA$10),"")</f>
        <v>1357.4839999999999</v>
      </c>
      <c r="BB10">
        <f ca="1">IFERROR(IF(0=LEN(ReferenceData!$BB$10),"",ReferenceData!$BB$10),"")</f>
        <v>1329.1949999999999</v>
      </c>
      <c r="BC10">
        <f ca="1">IFERROR(IF(0=LEN(ReferenceData!$BC$10),"",ReferenceData!$BC$10),"")</f>
        <v>1288.33</v>
      </c>
      <c r="BD10">
        <f ca="1">IFERROR(IF(0=LEN(ReferenceData!$BD$10),"",ReferenceData!$BD$10),"")</f>
        <v>1330.7670000000001</v>
      </c>
      <c r="BE10">
        <f ca="1">IFERROR(IF(0=LEN(ReferenceData!$BE$10),"",ReferenceData!$BE$10),"")</f>
        <v>1263.6110000000001</v>
      </c>
      <c r="BF10">
        <f ca="1">IFERROR(IF(0=LEN(ReferenceData!$BF$10),"",ReferenceData!$BF$10),"")</f>
        <v>1247.71</v>
      </c>
      <c r="BG10">
        <f ca="1">IFERROR(IF(0=LEN(ReferenceData!$BG$10),"",ReferenceData!$BG$10),"")</f>
        <v>1239.903</v>
      </c>
      <c r="BH10">
        <f ca="1">IFERROR(IF(0=LEN(ReferenceData!$BH$10),"",ReferenceData!$BH$10),"")</f>
        <v>1263.6959999999999</v>
      </c>
      <c r="BI10">
        <f ca="1">IFERROR(IF(0=LEN(ReferenceData!$BI$10),"",ReferenceData!$BI$10),"")</f>
        <v>1228.4929999999999</v>
      </c>
      <c r="BJ10">
        <f ca="1">IFERROR(IF(0=LEN(ReferenceData!$BJ$10),"",ReferenceData!$BJ$10),"")</f>
        <v>1221.1189999999999</v>
      </c>
      <c r="BK10">
        <f ca="1">IFERROR(IF(0=LEN(ReferenceData!$BK$10),"",ReferenceData!$BK$10),"")</f>
        <v>1228.498</v>
      </c>
      <c r="BL10">
        <f ca="1">IFERROR(IF(0=LEN(ReferenceData!$BL$10),"",ReferenceData!$BL$10),"")</f>
        <v>1247.357</v>
      </c>
      <c r="BM10">
        <f ca="1">IFERROR(IF(0=LEN(ReferenceData!$BM$10),"",ReferenceData!$BM$10),"")</f>
        <v>1219.6610000000001</v>
      </c>
    </row>
    <row r="11" spans="1:65">
      <c r="A11" t="str">
        <f>IFERROR(IF(0=LEN(ReferenceData!$A$11),"",ReferenceData!$A$11),"")</f>
        <v xml:space="preserve">    公寓房地产投资信托同店净营业利润增长</v>
      </c>
      <c r="B11" t="str">
        <f>IFERROR(IF(0=LEN(ReferenceData!$B$11),"",ReferenceData!$B$11),"")</f>
        <v>RECFSSAP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动态</v>
      </c>
      <c r="F11">
        <f ca="1">IFERROR(IF(0=LEN(ReferenceData!$F$11),"",ReferenceData!$F$11),"")</f>
        <v>2.6043458720000001</v>
      </c>
      <c r="G11">
        <f ca="1">IFERROR(IF(0=LEN(ReferenceData!$G$11),"",ReferenceData!$G$11),"")</f>
        <v>2.4537863799999999</v>
      </c>
      <c r="H11">
        <f ca="1">IFERROR(IF(0=LEN(ReferenceData!$H$11),"",ReferenceData!$H$11),"")</f>
        <v>2.8786365159999998</v>
      </c>
      <c r="I11">
        <f ca="1">IFERROR(IF(0=LEN(ReferenceData!$I$11),"",ReferenceData!$I$11),"")</f>
        <v>3.4220786360000002</v>
      </c>
      <c r="J11">
        <f ca="1">IFERROR(IF(0=LEN(ReferenceData!$J$11),"",ReferenceData!$J$11),"")</f>
        <v>3.8412199739999999</v>
      </c>
      <c r="K11">
        <f ca="1">IFERROR(IF(0=LEN(ReferenceData!$K$11),"",ReferenceData!$K$11),"")</f>
        <v>4.6233524910000003</v>
      </c>
      <c r="L11">
        <f ca="1">IFERROR(IF(0=LEN(ReferenceData!$L$11),"",ReferenceData!$L$11),"")</f>
        <v>5.1831028809999999</v>
      </c>
      <c r="M11">
        <f ca="1">IFERROR(IF(0=LEN(ReferenceData!$M$11),"",ReferenceData!$M$11),"")</f>
        <v>6.9612316280000002</v>
      </c>
      <c r="N11">
        <f ca="1">IFERROR(IF(0=LEN(ReferenceData!$N$11),"",ReferenceData!$N$11),"")</f>
        <v>6.6078547609999996</v>
      </c>
      <c r="O11">
        <f ca="1">IFERROR(IF(0=LEN(ReferenceData!$O$11),"",ReferenceData!$O$11),"")</f>
        <v>6.272656929</v>
      </c>
      <c r="P11">
        <f ca="1">IFERROR(IF(0=LEN(ReferenceData!$P$11),"",ReferenceData!$P$11),"")</f>
        <v>6.2475426470000004</v>
      </c>
      <c r="Q11">
        <f ca="1">IFERROR(IF(0=LEN(ReferenceData!$Q$11),"",ReferenceData!$Q$11),"")</f>
        <v>5.8289555740000001</v>
      </c>
      <c r="R11">
        <f ca="1">IFERROR(IF(0=LEN(ReferenceData!$R$11),"",ReferenceData!$R$11),"")</f>
        <v>5.2783519879999998</v>
      </c>
      <c r="S11">
        <f ca="1">IFERROR(IF(0=LEN(ReferenceData!$S$11),"",ReferenceData!$S$11),"")</f>
        <v>5.1101434240000003</v>
      </c>
      <c r="T11">
        <f ca="1">IFERROR(IF(0=LEN(ReferenceData!$T$11),"",ReferenceData!$T$11),"")</f>
        <v>4.3971214400000003</v>
      </c>
      <c r="U11">
        <f ca="1">IFERROR(IF(0=LEN(ReferenceData!$U$11),"",ReferenceData!$U$11),"")</f>
        <v>3.7003813619999999</v>
      </c>
      <c r="V11">
        <f ca="1">IFERROR(IF(0=LEN(ReferenceData!$V$11),"",ReferenceData!$V$11),"")</f>
        <v>4.3109157160000002</v>
      </c>
      <c r="W11">
        <f ca="1">IFERROR(IF(0=LEN(ReferenceData!$W$11),"",ReferenceData!$W$11),"")</f>
        <v>4.7654607579999997</v>
      </c>
      <c r="X11">
        <f ca="1">IFERROR(IF(0=LEN(ReferenceData!$X$11),"",ReferenceData!$X$11),"")</f>
        <v>5.5050350369999999</v>
      </c>
      <c r="Y11">
        <f ca="1">IFERROR(IF(0=LEN(ReferenceData!$Y$11),"",ReferenceData!$Y$11),"")</f>
        <v>5.6610013520000004</v>
      </c>
      <c r="Z11">
        <f ca="1">IFERROR(IF(0=LEN(ReferenceData!$Z$11),"",ReferenceData!$Z$11),"")</f>
        <v>6.7008074029999998</v>
      </c>
      <c r="AA11">
        <f ca="1">IFERROR(IF(0=LEN(ReferenceData!$AA$11),"",ReferenceData!$AA$11),"")</f>
        <v>7.6055373629999998</v>
      </c>
      <c r="AB11">
        <f ca="1">IFERROR(IF(0=LEN(ReferenceData!$AB$11),"",ReferenceData!$AB$11),"")</f>
        <v>7.2105337049999996</v>
      </c>
      <c r="AC11">
        <f ca="1">IFERROR(IF(0=LEN(ReferenceData!$AC$11),"",ReferenceData!$AC$11),"")</f>
        <v>8.2859923080000009</v>
      </c>
      <c r="AD11">
        <f ca="1">IFERROR(IF(0=LEN(ReferenceData!$AD$11),"",ReferenceData!$AD$11),"")</f>
        <v>7.7602358650000003</v>
      </c>
      <c r="AE11">
        <f ca="1">IFERROR(IF(0=LEN(ReferenceData!$AE$11),"",ReferenceData!$AE$11),"")</f>
        <v>7.0082794450000003</v>
      </c>
      <c r="AF11">
        <f ca="1">IFERROR(IF(0=LEN(ReferenceData!$AF$11),"",ReferenceData!$AF$11),"")</f>
        <v>6.1909277579999999</v>
      </c>
      <c r="AG11">
        <f ca="1">IFERROR(IF(0=LEN(ReferenceData!$AG$11),"",ReferenceData!$AG$11),"")</f>
        <v>5.910533118</v>
      </c>
      <c r="AH11">
        <f ca="1">IFERROR(IF(0=LEN(ReferenceData!$AH$11),"",ReferenceData!$AH$11),"")</f>
        <v>3.4210570630000001</v>
      </c>
      <c r="AI11">
        <f ca="1">IFERROR(IF(0=LEN(ReferenceData!$AI$11),"",ReferenceData!$AI$11),"")</f>
        <v>0.64830293299999997</v>
      </c>
      <c r="AJ11">
        <f ca="1">IFERROR(IF(0=LEN(ReferenceData!$AJ$11),"",ReferenceData!$AJ$11),"")</f>
        <v>-2.7277876060000001</v>
      </c>
      <c r="AK11">
        <f ca="1">IFERROR(IF(0=LEN(ReferenceData!$AK$11),"",ReferenceData!$AK$11),"")</f>
        <v>-5.6153801589999999</v>
      </c>
      <c r="AL11">
        <f ca="1">IFERROR(IF(0=LEN(ReferenceData!$AL$11),"",ReferenceData!$AL$11),"")</f>
        <v>-5.9562234780000001</v>
      </c>
      <c r="AM11">
        <f ca="1">IFERROR(IF(0=LEN(ReferenceData!$AM$11),"",ReferenceData!$AM$11),"")</f>
        <v>-5.0540186409999999</v>
      </c>
      <c r="AN11">
        <f ca="1">IFERROR(IF(0=LEN(ReferenceData!$AN$11),"",ReferenceData!$AN$11),"")</f>
        <v>-3.3686565900000001</v>
      </c>
      <c r="AO11">
        <f ca="1">IFERROR(IF(0=LEN(ReferenceData!$AO$11),"",ReferenceData!$AO$11),"")</f>
        <v>-0.79378130700000005</v>
      </c>
      <c r="AP11">
        <f ca="1">IFERROR(IF(0=LEN(ReferenceData!$AP$11),"",ReferenceData!$AP$11),"")</f>
        <v>1.8609920470000001</v>
      </c>
      <c r="AQ11">
        <f ca="1">IFERROR(IF(0=LEN(ReferenceData!$AQ$11),"",ReferenceData!$AQ$11),"")</f>
        <v>2.5697799180000001</v>
      </c>
      <c r="AR11">
        <f ca="1">IFERROR(IF(0=LEN(ReferenceData!$AR$11),"",ReferenceData!$AR$11),"")</f>
        <v>4.4338074970000001</v>
      </c>
      <c r="AS11">
        <f ca="1">IFERROR(IF(0=LEN(ReferenceData!$AS$11),"",ReferenceData!$AS$11),"")</f>
        <v>3.8521864099999998</v>
      </c>
      <c r="AT11">
        <f ca="1">IFERROR(IF(0=LEN(ReferenceData!$AT$11),"",ReferenceData!$AT$11),"")</f>
        <v>5.0587237030000001</v>
      </c>
      <c r="AU11">
        <f ca="1">IFERROR(IF(0=LEN(ReferenceData!$AU$11),"",ReferenceData!$AU$11),"")</f>
        <v>5.7462350840000003</v>
      </c>
      <c r="AV11">
        <f ca="1">IFERROR(IF(0=LEN(ReferenceData!$AV$11),"",ReferenceData!$AV$11),"")</f>
        <v>5.2134984859999998</v>
      </c>
      <c r="AW11">
        <f ca="1">IFERROR(IF(0=LEN(ReferenceData!$AW$11),"",ReferenceData!$AW$11),"")</f>
        <v>6.5175813380000003</v>
      </c>
      <c r="AX11">
        <f ca="1">IFERROR(IF(0=LEN(ReferenceData!$AX$11),"",ReferenceData!$AX$11),"")</f>
        <v>6.8905610380000004</v>
      </c>
      <c r="AY11">
        <f ca="1">IFERROR(IF(0=LEN(ReferenceData!$AY$11),"",ReferenceData!$AY$11),"")</f>
        <v>7.7267694770000004</v>
      </c>
      <c r="AZ11">
        <f ca="1">IFERROR(IF(0=LEN(ReferenceData!$AZ$11),"",ReferenceData!$AZ$11),"")</f>
        <v>8.3708922670000003</v>
      </c>
      <c r="BA11">
        <f ca="1">IFERROR(IF(0=LEN(ReferenceData!$BA$11),"",ReferenceData!$BA$11),"")</f>
        <v>7.3341756719999998</v>
      </c>
      <c r="BB11">
        <f ca="1">IFERROR(IF(0=LEN(ReferenceData!$BB$11),"",ReferenceData!$BB$11),"")</f>
        <v>6.6113562229999996</v>
      </c>
      <c r="BC11">
        <f ca="1">IFERROR(IF(0=LEN(ReferenceData!$BC$11),"",ReferenceData!$BC$11),"")</f>
        <v>4.4140333319999998</v>
      </c>
      <c r="BD11">
        <f ca="1">IFERROR(IF(0=LEN(ReferenceData!$BD$11),"",ReferenceData!$BD$11),"")</f>
        <v>2.976706622</v>
      </c>
      <c r="BE11">
        <f ca="1">IFERROR(IF(0=LEN(ReferenceData!$BE$11),"",ReferenceData!$BE$11),"")</f>
        <v>1.5592200620000001</v>
      </c>
      <c r="BF11">
        <f ca="1">IFERROR(IF(0=LEN(ReferenceData!$BF$11),"",ReferenceData!$BF$11),"")</f>
        <v>0.20350663899999999</v>
      </c>
      <c r="BG11">
        <f ca="1">IFERROR(IF(0=LEN(ReferenceData!$BG$11),"",ReferenceData!$BG$11),"")</f>
        <v>-0.77643376900000005</v>
      </c>
      <c r="BH11">
        <f ca="1">IFERROR(IF(0=LEN(ReferenceData!$BH$11),"",ReferenceData!$BH$11),"")</f>
        <v>-1.8822800630000001</v>
      </c>
      <c r="BI11">
        <f ca="1">IFERROR(IF(0=LEN(ReferenceData!$BI$11),"",ReferenceData!$BI$11),"")</f>
        <v>-2.0704315389999999</v>
      </c>
      <c r="BJ11">
        <f ca="1">IFERROR(IF(0=LEN(ReferenceData!$BJ$11),"",ReferenceData!$BJ$11),"")</f>
        <v>-3.881378437</v>
      </c>
      <c r="BK11">
        <f ca="1">IFERROR(IF(0=LEN(ReferenceData!$BK$11),"",ReferenceData!$BK$11),"")</f>
        <v>-4.9131365599999999</v>
      </c>
      <c r="BL11">
        <f ca="1">IFERROR(IF(0=LEN(ReferenceData!$BL$11),"",ReferenceData!$BL$11),"")</f>
        <v>-6.2663777170000001</v>
      </c>
      <c r="BM11">
        <f ca="1">IFERROR(IF(0=LEN(ReferenceData!$BM$11),"",ReferenceData!$BM$11),"")</f>
        <v>-8.6373337390000007</v>
      </c>
    </row>
    <row r="12" spans="1:65">
      <c r="A12" t="str">
        <f>IFERROR(IF(0=LEN(ReferenceData!$A$12),"",ReferenceData!$A$12),"")</f>
        <v xml:space="preserve">    公寓房地产投资信托总股利支付</v>
      </c>
      <c r="B12" t="str">
        <f>IFERROR(IF(0=LEN(ReferenceData!$B$12),"",ReferenceData!$B$12),"")</f>
        <v>RECFTDAP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动态</v>
      </c>
      <c r="F12">
        <f ca="1">IFERROR(IF(0=LEN(ReferenceData!$F$12),"",ReferenceData!$F$12),"")</f>
        <v>1075.9775500000001</v>
      </c>
      <c r="G12">
        <f ca="1">IFERROR(IF(0=LEN(ReferenceData!$G$12),"",ReferenceData!$G$12),"")</f>
        <v>1054.354</v>
      </c>
      <c r="H12">
        <f ca="1">IFERROR(IF(0=LEN(ReferenceData!$H$12),"",ReferenceData!$H$12),"")</f>
        <v>1020.494</v>
      </c>
      <c r="I12">
        <f ca="1">IFERROR(IF(0=LEN(ReferenceData!$I$12),"",ReferenceData!$I$12),"")</f>
        <v>990.07899999999995</v>
      </c>
      <c r="J12">
        <f ca="1">IFERROR(IF(0=LEN(ReferenceData!$J$12),"",ReferenceData!$J$12),"")</f>
        <v>2077.6089999999999</v>
      </c>
      <c r="K12">
        <f ca="1">IFERROR(IF(0=LEN(ReferenceData!$K$12),"",ReferenceData!$K$12),"")</f>
        <v>1365.3869999999999</v>
      </c>
      <c r="L12">
        <f ca="1">IFERROR(IF(0=LEN(ReferenceData!$L$12),"",ReferenceData!$L$12),"")</f>
        <v>941.64599999999996</v>
      </c>
      <c r="M12">
        <f ca="1">IFERROR(IF(0=LEN(ReferenceData!$M$12),"",ReferenceData!$M$12),"")</f>
        <v>3969.8850000000002</v>
      </c>
      <c r="N12">
        <f ca="1">IFERROR(IF(0=LEN(ReferenceData!$N$12),"",ReferenceData!$N$12),"")</f>
        <v>884.58500000000004</v>
      </c>
      <c r="O12">
        <f ca="1">IFERROR(IF(0=LEN(ReferenceData!$O$12),"",ReferenceData!$O$12),"")</f>
        <v>882.11199999999997</v>
      </c>
      <c r="P12">
        <f ca="1">IFERROR(IF(0=LEN(ReferenceData!$P$12),"",ReferenceData!$P$12),"")</f>
        <v>950.46500000000003</v>
      </c>
      <c r="Q12">
        <f ca="1">IFERROR(IF(0=LEN(ReferenceData!$Q$12),"",ReferenceData!$Q$12),"")</f>
        <v>889.70600000000002</v>
      </c>
      <c r="R12">
        <f ca="1">IFERROR(IF(0=LEN(ReferenceData!$R$12),"",ReferenceData!$R$12),"")</f>
        <v>861.52599999999995</v>
      </c>
      <c r="S12">
        <f ca="1">IFERROR(IF(0=LEN(ReferenceData!$S$12),"",ReferenceData!$S$12),"")</f>
        <v>860.25800000000004</v>
      </c>
      <c r="T12">
        <f ca="1">IFERROR(IF(0=LEN(ReferenceData!$T$12),"",ReferenceData!$T$12),"")</f>
        <v>735.43</v>
      </c>
      <c r="U12">
        <f ca="1">IFERROR(IF(0=LEN(ReferenceData!$U$12),"",ReferenceData!$U$12),"")</f>
        <v>880.279</v>
      </c>
      <c r="V12">
        <f ca="1">IFERROR(IF(0=LEN(ReferenceData!$V$12),"",ReferenceData!$V$12),"")</f>
        <v>748.65099999999995</v>
      </c>
      <c r="W12">
        <f ca="1">IFERROR(IF(0=LEN(ReferenceData!$W$12),"",ReferenceData!$W$12),"")</f>
        <v>724.23699999999997</v>
      </c>
      <c r="X12">
        <f ca="1">IFERROR(IF(0=LEN(ReferenceData!$X$12),"",ReferenceData!$X$12),"")</f>
        <v>719.59199999999998</v>
      </c>
      <c r="Y12">
        <f ca="1">IFERROR(IF(0=LEN(ReferenceData!$Y$12),"",ReferenceData!$Y$12),"")</f>
        <v>785.21600000000001</v>
      </c>
      <c r="Z12">
        <f ca="1">IFERROR(IF(0=LEN(ReferenceData!$Z$12),"",ReferenceData!$Z$12),"")</f>
        <v>605.64400000000001</v>
      </c>
      <c r="AA12">
        <f ca="1">IFERROR(IF(0=LEN(ReferenceData!$AA$12),"",ReferenceData!$AA$12),"")</f>
        <v>593.48699999999997</v>
      </c>
      <c r="AB12">
        <f ca="1">IFERROR(IF(0=LEN(ReferenceData!$AB$12),"",ReferenceData!$AB$12),"")</f>
        <v>577.33299999999997</v>
      </c>
      <c r="AC12">
        <f ca="1">IFERROR(IF(0=LEN(ReferenceData!$AC$12),"",ReferenceData!$AC$12),"")</f>
        <v>621.71299999999997</v>
      </c>
      <c r="AD12">
        <f ca="1">IFERROR(IF(0=LEN(ReferenceData!$AD$12),"",ReferenceData!$AD$12),"")</f>
        <v>524.72400000000005</v>
      </c>
      <c r="AE12">
        <f ca="1">IFERROR(IF(0=LEN(ReferenceData!$AE$12),"",ReferenceData!$AE$12),"")</f>
        <v>513.50300000000004</v>
      </c>
      <c r="AF12">
        <f ca="1">IFERROR(IF(0=LEN(ReferenceData!$AF$12),"",ReferenceData!$AF$12),"")</f>
        <v>490.517</v>
      </c>
      <c r="AG12">
        <f ca="1">IFERROR(IF(0=LEN(ReferenceData!$AG$12),"",ReferenceData!$AG$12),"")</f>
        <v>513.255</v>
      </c>
      <c r="AH12">
        <f ca="1">IFERROR(IF(0=LEN(ReferenceData!$AH$12),"",ReferenceData!$AH$12),"")</f>
        <v>464.17599999999999</v>
      </c>
      <c r="AI12">
        <f ca="1">IFERROR(IF(0=LEN(ReferenceData!$AI$12),"",ReferenceData!$AI$12),"")</f>
        <v>459.471</v>
      </c>
      <c r="AJ12">
        <f ca="1">IFERROR(IF(0=LEN(ReferenceData!$AJ$12),"",ReferenceData!$AJ$12),"")</f>
        <v>454.82</v>
      </c>
      <c r="AK12">
        <f ca="1">IFERROR(IF(0=LEN(ReferenceData!$AK$12),"",ReferenceData!$AK$12),"")</f>
        <v>438.79199999999997</v>
      </c>
      <c r="AL12">
        <f ca="1">IFERROR(IF(0=LEN(ReferenceData!$AL$12),"",ReferenceData!$AL$12),"")</f>
        <v>452.55700000000002</v>
      </c>
      <c r="AM12">
        <f ca="1">IFERROR(IF(0=LEN(ReferenceData!$AM$12),"",ReferenceData!$AM$12),"")</f>
        <v>483.82</v>
      </c>
      <c r="AN12">
        <f ca="1">IFERROR(IF(0=LEN(ReferenceData!$AN$12),"",ReferenceData!$AN$12),"")</f>
        <v>522.31600000000003</v>
      </c>
      <c r="AO12">
        <f ca="1">IFERROR(IF(0=LEN(ReferenceData!$AO$12),"",ReferenceData!$AO$12),"")</f>
        <v>610.16099999999994</v>
      </c>
      <c r="AP12">
        <f ca="1">IFERROR(IF(0=LEN(ReferenceData!$AP$12),"",ReferenceData!$AP$12),"")</f>
        <v>681.79650000000004</v>
      </c>
      <c r="AQ12">
        <f ca="1">IFERROR(IF(0=LEN(ReferenceData!$AQ$12),"",ReferenceData!$AQ$12),"")</f>
        <v>665.43200000000002</v>
      </c>
      <c r="AR12">
        <f ca="1">IFERROR(IF(0=LEN(ReferenceData!$AR$12),"",ReferenceData!$AR$12),"")</f>
        <v>636.99199999999996</v>
      </c>
      <c r="AS12">
        <f ca="1">IFERROR(IF(0=LEN(ReferenceData!$AS$12),"",ReferenceData!$AS$12),"")</f>
        <v>617.07100000000003</v>
      </c>
      <c r="AT12">
        <f ca="1">IFERROR(IF(0=LEN(ReferenceData!$AT$12),"",ReferenceData!$AT$12),"")</f>
        <v>700.17449999999997</v>
      </c>
      <c r="AU12">
        <f ca="1">IFERROR(IF(0=LEN(ReferenceData!$AU$12),"",ReferenceData!$AU$12),"")</f>
        <v>636.17600000000004</v>
      </c>
      <c r="AV12">
        <f ca="1">IFERROR(IF(0=LEN(ReferenceData!$AV$12),"",ReferenceData!$AV$12),"")</f>
        <v>713.71900000000005</v>
      </c>
      <c r="AW12">
        <f ca="1">IFERROR(IF(0=LEN(ReferenceData!$AW$12),"",ReferenceData!$AW$12),"")</f>
        <v>752.51099999999997</v>
      </c>
      <c r="AX12">
        <f ca="1">IFERROR(IF(0=LEN(ReferenceData!$AX$12),"",ReferenceData!$AX$12),"")</f>
        <v>675.58600000000001</v>
      </c>
      <c r="AY12">
        <f ca="1">IFERROR(IF(0=LEN(ReferenceData!$AY$12),"",ReferenceData!$AY$12),"")</f>
        <v>688.08100000000002</v>
      </c>
      <c r="AZ12">
        <f ca="1">IFERROR(IF(0=LEN(ReferenceData!$AZ$12),"",ReferenceData!$AZ$12),"")</f>
        <v>696.98699999999997</v>
      </c>
      <c r="BA12">
        <f ca="1">IFERROR(IF(0=LEN(ReferenceData!$BA$12),"",ReferenceData!$BA$12),"")</f>
        <v>683.07100000000003</v>
      </c>
      <c r="BB12">
        <f ca="1">IFERROR(IF(0=LEN(ReferenceData!$BB$12),"",ReferenceData!$BB$12),"")</f>
        <v>677.09900000000005</v>
      </c>
      <c r="BC12">
        <f ca="1">IFERROR(IF(0=LEN(ReferenceData!$BC$12),"",ReferenceData!$BC$12),"")</f>
        <v>673.55600000000004</v>
      </c>
      <c r="BD12">
        <f ca="1">IFERROR(IF(0=LEN(ReferenceData!$BD$12),"",ReferenceData!$BD$12),"")</f>
        <v>670.16899999999998</v>
      </c>
      <c r="BE12">
        <f ca="1">IFERROR(IF(0=LEN(ReferenceData!$BE$12),"",ReferenceData!$BE$12),"")</f>
        <v>707.91099999999994</v>
      </c>
      <c r="BF12">
        <f ca="1">IFERROR(IF(0=LEN(ReferenceData!$BF$12),"",ReferenceData!$BF$12),"")</f>
        <v>914.15200000000004</v>
      </c>
      <c r="BG12">
        <f ca="1">IFERROR(IF(0=LEN(ReferenceData!$BG$12),"",ReferenceData!$BG$12),"")</f>
        <v>700.98500000000001</v>
      </c>
      <c r="BH12">
        <f ca="1">IFERROR(IF(0=LEN(ReferenceData!$BH$12),"",ReferenceData!$BH$12),"")</f>
        <v>714.76700000000005</v>
      </c>
      <c r="BI12">
        <f ca="1">IFERROR(IF(0=LEN(ReferenceData!$BI$12),"",ReferenceData!$BI$12),"")</f>
        <v>685.36800000000005</v>
      </c>
      <c r="BJ12">
        <f ca="1">IFERROR(IF(0=LEN(ReferenceData!$BJ$12),"",ReferenceData!$BJ$12),"")</f>
        <v>676.375</v>
      </c>
      <c r="BK12">
        <f ca="1">IFERROR(IF(0=LEN(ReferenceData!$BK$12),"",ReferenceData!$BK$12),"")</f>
        <v>691.69299999999998</v>
      </c>
      <c r="BL12">
        <f ca="1">IFERROR(IF(0=LEN(ReferenceData!$BL$12),"",ReferenceData!$BL$12),"")</f>
        <v>689.94100000000003</v>
      </c>
      <c r="BM12">
        <f ca="1">IFERROR(IF(0=LEN(ReferenceData!$BM$12),"",ReferenceData!$BM$12),"")</f>
        <v>700.70699999999999</v>
      </c>
    </row>
    <row r="13" spans="1:65">
      <c r="A13" t="str">
        <f>IFERROR(IF(0=LEN(ReferenceData!$A$13),"",ReferenceData!$A$13),"")</f>
        <v xml:space="preserve">    公寓房地产投资信托平均入住率</v>
      </c>
      <c r="B13" t="str">
        <f>IFERROR(IF(0=LEN(ReferenceData!$B$13),"",ReferenceData!$B$13),"")</f>
        <v>RECFAVAP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动态</v>
      </c>
      <c r="F13">
        <f ca="1">IFERROR(IF(0=LEN(ReferenceData!$F$13),"",ReferenceData!$F$13),"")</f>
        <v>95.695894269999997</v>
      </c>
      <c r="G13">
        <f ca="1">IFERROR(IF(0=LEN(ReferenceData!$G$13),"",ReferenceData!$G$13),"")</f>
        <v>94.038482939999994</v>
      </c>
      <c r="H13">
        <f ca="1">IFERROR(IF(0=LEN(ReferenceData!$H$13),"",ReferenceData!$H$13),"")</f>
        <v>94.014835349999998</v>
      </c>
      <c r="I13">
        <f ca="1">IFERROR(IF(0=LEN(ReferenceData!$I$13),"",ReferenceData!$I$13),"")</f>
        <v>95.114441679999999</v>
      </c>
      <c r="J13">
        <f ca="1">IFERROR(IF(0=LEN(ReferenceData!$J$13),"",ReferenceData!$J$13),"")</f>
        <v>95.100766030000003</v>
      </c>
      <c r="K13">
        <f ca="1">IFERROR(IF(0=LEN(ReferenceData!$K$13),"",ReferenceData!$K$13),"")</f>
        <v>94.508641760000003</v>
      </c>
      <c r="L13">
        <f ca="1">IFERROR(IF(0=LEN(ReferenceData!$L$13),"",ReferenceData!$L$13),"")</f>
        <v>94.219786130000003</v>
      </c>
      <c r="M13">
        <f ca="1">IFERROR(IF(0=LEN(ReferenceData!$M$13),"",ReferenceData!$M$13),"")</f>
        <v>95.170143170000003</v>
      </c>
      <c r="N13">
        <f ca="1">IFERROR(IF(0=LEN(ReferenceData!$N$13),"",ReferenceData!$N$13),"")</f>
        <v>95.180003069999998</v>
      </c>
      <c r="O13">
        <f ca="1">IFERROR(IF(0=LEN(ReferenceData!$O$13),"",ReferenceData!$O$13),"")</f>
        <v>94.086792299999999</v>
      </c>
      <c r="P13">
        <f ca="1">IFERROR(IF(0=LEN(ReferenceData!$P$13),"",ReferenceData!$P$13),"")</f>
        <v>94.461427779999994</v>
      </c>
      <c r="Q13">
        <f ca="1">IFERROR(IF(0=LEN(ReferenceData!$Q$13),"",ReferenceData!$Q$13),"")</f>
        <v>95.404404119999995</v>
      </c>
      <c r="R13">
        <f ca="1">IFERROR(IF(0=LEN(ReferenceData!$R$13),"",ReferenceData!$R$13),"")</f>
        <v>95.173413999999994</v>
      </c>
      <c r="S13">
        <f ca="1">IFERROR(IF(0=LEN(ReferenceData!$S$13),"",ReferenceData!$S$13),"")</f>
        <v>94.899925890000006</v>
      </c>
      <c r="T13">
        <f ca="1">IFERROR(IF(0=LEN(ReferenceData!$T$13),"",ReferenceData!$T$13),"")</f>
        <v>94.545527089999993</v>
      </c>
      <c r="U13">
        <f ca="1">IFERROR(IF(0=LEN(ReferenceData!$U$13),"",ReferenceData!$U$13),"")</f>
        <v>94.928373579999999</v>
      </c>
      <c r="V13">
        <f ca="1">IFERROR(IF(0=LEN(ReferenceData!$V$13),"",ReferenceData!$V$13),"")</f>
        <v>94.644578999999993</v>
      </c>
      <c r="W13">
        <f ca="1">IFERROR(IF(0=LEN(ReferenceData!$W$13),"",ReferenceData!$W$13),"")</f>
        <v>94.430190670000002</v>
      </c>
      <c r="X13">
        <f ca="1">IFERROR(IF(0=LEN(ReferenceData!$X$13),"",ReferenceData!$X$13),"")</f>
        <v>94.342628199999993</v>
      </c>
      <c r="Y13">
        <f ca="1">IFERROR(IF(0=LEN(ReferenceData!$Y$13),"",ReferenceData!$Y$13),"")</f>
        <v>95.037719319999994</v>
      </c>
      <c r="Z13">
        <f ca="1">IFERROR(IF(0=LEN(ReferenceData!$Z$13),"",ReferenceData!$Z$13),"")</f>
        <v>94.701269269999997</v>
      </c>
      <c r="AA13">
        <f ca="1">IFERROR(IF(0=LEN(ReferenceData!$AA$13),"",ReferenceData!$AA$13),"")</f>
        <v>94.857585709999995</v>
      </c>
      <c r="AB13">
        <f ca="1">IFERROR(IF(0=LEN(ReferenceData!$AB$13),"",ReferenceData!$AB$13),"")</f>
        <v>94.797411089999997</v>
      </c>
      <c r="AC13">
        <f ca="1">IFERROR(IF(0=LEN(ReferenceData!$AC$13),"",ReferenceData!$AC$13),"")</f>
        <v>94.93660989</v>
      </c>
      <c r="AD13">
        <f ca="1">IFERROR(IF(0=LEN(ReferenceData!$AD$13),"",ReferenceData!$AD$13),"")</f>
        <v>94.594109419999995</v>
      </c>
      <c r="AE13">
        <f ca="1">IFERROR(IF(0=LEN(ReferenceData!$AE$13),"",ReferenceData!$AE$13),"")</f>
        <v>94.874988970000004</v>
      </c>
      <c r="AF13">
        <f ca="1">IFERROR(IF(0=LEN(ReferenceData!$AF$13),"",ReferenceData!$AF$13),"")</f>
        <v>94.864143609999999</v>
      </c>
      <c r="AG13">
        <f ca="1">IFERROR(IF(0=LEN(ReferenceData!$AG$13),"",ReferenceData!$AG$13),"")</f>
        <v>94.990902750000004</v>
      </c>
      <c r="AH13">
        <f ca="1">IFERROR(IF(0=LEN(ReferenceData!$AH$13),"",ReferenceData!$AH$13),"")</f>
        <v>94.374151830000002</v>
      </c>
      <c r="AI13">
        <f ca="1">IFERROR(IF(0=LEN(ReferenceData!$AI$13),"",ReferenceData!$AI$13),"")</f>
        <v>94.581091869999995</v>
      </c>
      <c r="AJ13">
        <f ca="1">IFERROR(IF(0=LEN(ReferenceData!$AJ$13),"",ReferenceData!$AJ$13),"")</f>
        <v>94.302038339999996</v>
      </c>
      <c r="AK13">
        <f ca="1">IFERROR(IF(0=LEN(ReferenceData!$AK$13),"",ReferenceData!$AK$13),"")</f>
        <v>94.410003979999999</v>
      </c>
      <c r="AL13">
        <f ca="1">IFERROR(IF(0=LEN(ReferenceData!$AL$13),"",ReferenceData!$AL$13),"")</f>
        <v>94.166688859999994</v>
      </c>
      <c r="AM13">
        <f ca="1">IFERROR(IF(0=LEN(ReferenceData!$AM$13),"",ReferenceData!$AM$13),"")</f>
        <v>93.828456369999998</v>
      </c>
      <c r="AN13">
        <f ca="1">IFERROR(IF(0=LEN(ReferenceData!$AN$13),"",ReferenceData!$AN$13),"")</f>
        <v>93.261447750000002</v>
      </c>
      <c r="AO13">
        <f ca="1">IFERROR(IF(0=LEN(ReferenceData!$AO$13),"",ReferenceData!$AO$13),"")</f>
        <v>93.313847920000001</v>
      </c>
      <c r="AP13">
        <f ca="1">IFERROR(IF(0=LEN(ReferenceData!$AP$13),"",ReferenceData!$AP$13),"")</f>
        <v>93.398596810000001</v>
      </c>
      <c r="AQ13">
        <f ca="1">IFERROR(IF(0=LEN(ReferenceData!$AQ$13),"",ReferenceData!$AQ$13),"")</f>
        <v>94.720909879999994</v>
      </c>
      <c r="AR13">
        <f ca="1">IFERROR(IF(0=LEN(ReferenceData!$AR$13),"",ReferenceData!$AR$13),"")</f>
        <v>92.374716500000005</v>
      </c>
      <c r="AS13">
        <f ca="1">IFERROR(IF(0=LEN(ReferenceData!$AS$13),"",ReferenceData!$AS$13),"")</f>
        <v>93.462990520000005</v>
      </c>
      <c r="AT13">
        <f ca="1">IFERROR(IF(0=LEN(ReferenceData!$AT$13),"",ReferenceData!$AT$13),"")</f>
        <v>93.176707789999995</v>
      </c>
      <c r="AU13">
        <f ca="1">IFERROR(IF(0=LEN(ReferenceData!$AU$13),"",ReferenceData!$AU$13),"")</f>
        <v>93.896769950000007</v>
      </c>
      <c r="AV13">
        <f ca="1">IFERROR(IF(0=LEN(ReferenceData!$AV$13),"",ReferenceData!$AV$13),"")</f>
        <v>93.263467500000004</v>
      </c>
      <c r="AW13">
        <f ca="1">IFERROR(IF(0=LEN(ReferenceData!$AW$13),"",ReferenceData!$AW$13),"")</f>
        <v>93.519480470000005</v>
      </c>
      <c r="AX13">
        <f ca="1">IFERROR(IF(0=LEN(ReferenceData!$AX$13),"",ReferenceData!$AX$13),"")</f>
        <v>93.688273980000005</v>
      </c>
      <c r="AY13">
        <f ca="1">IFERROR(IF(0=LEN(ReferenceData!$AY$13),"",ReferenceData!$AY$13),"")</f>
        <v>94.268315139999999</v>
      </c>
      <c r="AZ13">
        <f ca="1">IFERROR(IF(0=LEN(ReferenceData!$AZ$13),"",ReferenceData!$AZ$13),"")</f>
        <v>94.136888870000007</v>
      </c>
      <c r="BA13">
        <f ca="1">IFERROR(IF(0=LEN(ReferenceData!$BA$13),"",ReferenceData!$BA$13),"")</f>
        <v>94.966185769999996</v>
      </c>
      <c r="BB13">
        <f ca="1">IFERROR(IF(0=LEN(ReferenceData!$BB$13),"",ReferenceData!$BB$13),"")</f>
        <v>94.229379510000001</v>
      </c>
      <c r="BC13">
        <f ca="1">IFERROR(IF(0=LEN(ReferenceData!$BC$13),"",ReferenceData!$BC$13),"")</f>
        <v>94.967780529999999</v>
      </c>
      <c r="BD13">
        <f ca="1">IFERROR(IF(0=LEN(ReferenceData!$BD$13),"",ReferenceData!$BD$13),"")</f>
        <v>94.128579419999994</v>
      </c>
      <c r="BE13">
        <f ca="1">IFERROR(IF(0=LEN(ReferenceData!$BE$13),"",ReferenceData!$BE$13),"")</f>
        <v>93.844436650000006</v>
      </c>
      <c r="BF13">
        <f ca="1">IFERROR(IF(0=LEN(ReferenceData!$BF$13),"",ReferenceData!$BF$13),"")</f>
        <v>93.546542509999995</v>
      </c>
      <c r="BG13">
        <f ca="1">IFERROR(IF(0=LEN(ReferenceData!$BG$13),"",ReferenceData!$BG$13),"")</f>
        <v>94.359349469999998</v>
      </c>
      <c r="BH13">
        <f ca="1">IFERROR(IF(0=LEN(ReferenceData!$BH$13),"",ReferenceData!$BH$13),"")</f>
        <v>94.101068920000003</v>
      </c>
      <c r="BI13">
        <f ca="1">IFERROR(IF(0=LEN(ReferenceData!$BI$13),"",ReferenceData!$BI$13),"")</f>
        <v>93.844498759999993</v>
      </c>
      <c r="BJ13">
        <f ca="1">IFERROR(IF(0=LEN(ReferenceData!$BJ$13),"",ReferenceData!$BJ$13),"")</f>
        <v>92.885629800000004</v>
      </c>
      <c r="BK13">
        <f ca="1">IFERROR(IF(0=LEN(ReferenceData!$BK$13),"",ReferenceData!$BK$13),"")</f>
        <v>93.067995909999993</v>
      </c>
      <c r="BL13">
        <f ca="1">IFERROR(IF(0=LEN(ReferenceData!$BL$13),"",ReferenceData!$BL$13),"")</f>
        <v>93.003353219999994</v>
      </c>
      <c r="BM13">
        <f ca="1">IFERROR(IF(0=LEN(ReferenceData!$BM$13),"",ReferenceData!$BM$13),"")</f>
        <v>91.500287310000004</v>
      </c>
    </row>
    <row r="14" spans="1:65">
      <c r="A14" t="str">
        <f>IFERROR(IF(0=LEN(ReferenceData!$A$14),"",ReferenceData!$A$14),"")</f>
        <v>独栋住宅房地产投资信托数据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静态</v>
      </c>
      <c r="F14" t="str">
        <f ca="1">IFERROR(IF(0=LEN(ReferenceData!$F$14),"",ReferenceData!$F$14),"")</f>
        <v/>
      </c>
      <c r="G14" t="str">
        <f ca="1">IFERROR(IF(0=LEN(ReferenceData!$G$14),"",ReferenceData!$G$14),"")</f>
        <v/>
      </c>
      <c r="H14" t="str">
        <f ca="1">IFERROR(IF(0=LEN(ReferenceData!$H$14),"",ReferenceData!$H$14),"")</f>
        <v/>
      </c>
      <c r="I14" t="str">
        <f ca="1">IFERROR(IF(0=LEN(ReferenceData!$I$14),"",ReferenceData!$I$14),"")</f>
        <v/>
      </c>
      <c r="J14" t="str">
        <f ca="1">IFERROR(IF(0=LEN(ReferenceData!$J$14),"",ReferenceData!$J$14),"")</f>
        <v/>
      </c>
      <c r="K14" t="str">
        <f ca="1">IFERROR(IF(0=LEN(ReferenceData!$K$14),"",ReferenceData!$K$14),"")</f>
        <v/>
      </c>
      <c r="L14" t="str">
        <f ca="1">IFERROR(IF(0=LEN(ReferenceData!$L$14),"",ReferenceData!$L$14),"")</f>
        <v/>
      </c>
      <c r="M14" t="str">
        <f ca="1">IFERROR(IF(0=LEN(ReferenceData!$M$14),"",ReferenceData!$M$14),"")</f>
        <v/>
      </c>
      <c r="N14" t="str">
        <f ca="1">IFERROR(IF(0=LEN(ReferenceData!$N$14),"",ReferenceData!$N$14),"")</f>
        <v/>
      </c>
      <c r="O14" t="str">
        <f ca="1">IFERROR(IF(0=LEN(ReferenceData!$O$14),"",ReferenceData!$O$14),"")</f>
        <v/>
      </c>
      <c r="P14" t="str">
        <f ca="1">IFERROR(IF(0=LEN(ReferenceData!$P$14),"",ReferenceData!$P$14),"")</f>
        <v/>
      </c>
      <c r="Q14" t="str">
        <f ca="1">IFERROR(IF(0=LEN(ReferenceData!$Q$14),"",ReferenceData!$Q$14),"")</f>
        <v/>
      </c>
      <c r="R14" t="str">
        <f ca="1">IFERROR(IF(0=LEN(ReferenceData!$R$14),"",ReferenceData!$R$14),"")</f>
        <v/>
      </c>
      <c r="S14" t="str">
        <f ca="1">IFERROR(IF(0=LEN(ReferenceData!$S$14),"",ReferenceData!$S$14),"")</f>
        <v/>
      </c>
      <c r="T14" t="str">
        <f ca="1">IFERROR(IF(0=LEN(ReferenceData!$T$14),"",ReferenceData!$T$14),"")</f>
        <v/>
      </c>
      <c r="U14" t="str">
        <f ca="1">IFERROR(IF(0=LEN(ReferenceData!$U$14),"",ReferenceData!$U$14),"")</f>
        <v/>
      </c>
      <c r="V14" t="str">
        <f ca="1">IFERROR(IF(0=LEN(ReferenceData!$V$14),"",ReferenceData!$V$14),"")</f>
        <v/>
      </c>
      <c r="W14" t="str">
        <f ca="1">IFERROR(IF(0=LEN(ReferenceData!$W$14),"",ReferenceData!$W$14),"")</f>
        <v/>
      </c>
      <c r="X14" t="str">
        <f ca="1">IFERROR(IF(0=LEN(ReferenceData!$X$14),"",ReferenceData!$X$14),"")</f>
        <v/>
      </c>
      <c r="Y14" t="str">
        <f ca="1">IFERROR(IF(0=LEN(ReferenceData!$Y$14),"",ReferenceData!$Y$14),"")</f>
        <v/>
      </c>
      <c r="Z14" t="str">
        <f ca="1">IFERROR(IF(0=LEN(ReferenceData!$Z$14),"",ReferenceData!$Z$14),"")</f>
        <v/>
      </c>
      <c r="AA14" t="str">
        <f ca="1">IFERROR(IF(0=LEN(ReferenceData!$AA$14),"",ReferenceData!$AA$14),"")</f>
        <v/>
      </c>
      <c r="AB14" t="str">
        <f ca="1">IFERROR(IF(0=LEN(ReferenceData!$AB$14),"",ReferenceData!$AB$14),"")</f>
        <v/>
      </c>
      <c r="AC14" t="str">
        <f ca="1">IFERROR(IF(0=LEN(ReferenceData!$AC$14),"",ReferenceData!$AC$14),"")</f>
        <v/>
      </c>
      <c r="AD14" t="str">
        <f ca="1">IFERROR(IF(0=LEN(ReferenceData!$AD$14),"",ReferenceData!$AD$14),"")</f>
        <v/>
      </c>
      <c r="AE14" t="str">
        <f ca="1">IFERROR(IF(0=LEN(ReferenceData!$AE$14),"",ReferenceData!$AE$14),"")</f>
        <v/>
      </c>
      <c r="AF14" t="str">
        <f ca="1">IFERROR(IF(0=LEN(ReferenceData!$AF$14),"",ReferenceData!$AF$14),"")</f>
        <v/>
      </c>
      <c r="AG14" t="str">
        <f ca="1">IFERROR(IF(0=LEN(ReferenceData!$AG$14),"",ReferenceData!$AG$14),"")</f>
        <v/>
      </c>
      <c r="AH14" t="str">
        <f ca="1">IFERROR(IF(0=LEN(ReferenceData!$AH$14),"",ReferenceData!$AH$14),"")</f>
        <v/>
      </c>
      <c r="AI14" t="str">
        <f ca="1">IFERROR(IF(0=LEN(ReferenceData!$AI$14),"",ReferenceData!$AI$14),"")</f>
        <v/>
      </c>
      <c r="AJ14" t="str">
        <f ca="1">IFERROR(IF(0=LEN(ReferenceData!$AJ$14),"",ReferenceData!$AJ$14),"")</f>
        <v/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  <c r="AM14" t="str">
        <f ca="1">IFERROR(IF(0=LEN(ReferenceData!$AM$14),"",ReferenceData!$AM$14),"")</f>
        <v/>
      </c>
      <c r="AN14" t="str">
        <f ca="1">IFERROR(IF(0=LEN(ReferenceData!$AN$14),"",ReferenceData!$AN$14),"")</f>
        <v/>
      </c>
      <c r="AO14" t="str">
        <f ca="1">IFERROR(IF(0=LEN(ReferenceData!$AO$14),"",ReferenceData!$AO$14),"")</f>
        <v/>
      </c>
      <c r="AP14" t="str">
        <f ca="1">IFERROR(IF(0=LEN(ReferenceData!$AP$14),"",ReferenceData!$AP$14),"")</f>
        <v/>
      </c>
      <c r="AQ14" t="str">
        <f ca="1">IFERROR(IF(0=LEN(ReferenceData!$AQ$14),"",ReferenceData!$AQ$14),"")</f>
        <v/>
      </c>
      <c r="AR14" t="str">
        <f ca="1">IFERROR(IF(0=LEN(ReferenceData!$AR$14),"",ReferenceData!$AR$14),"")</f>
        <v/>
      </c>
      <c r="AS14" t="str">
        <f ca="1">IFERROR(IF(0=LEN(ReferenceData!$AS$14),"",ReferenceData!$AS$14),"")</f>
        <v/>
      </c>
      <c r="AT14" t="str">
        <f ca="1">IFERROR(IF(0=LEN(ReferenceData!$AT$14),"",ReferenceData!$AT$14),"")</f>
        <v/>
      </c>
      <c r="AU14" t="str">
        <f ca="1">IFERROR(IF(0=LEN(ReferenceData!$AU$14),"",ReferenceData!$AU$14),"")</f>
        <v/>
      </c>
      <c r="AV14" t="str">
        <f ca="1">IFERROR(IF(0=LEN(ReferenceData!$AV$14),"",ReferenceData!$AV$14),"")</f>
        <v/>
      </c>
      <c r="AW14" t="str">
        <f ca="1">IFERROR(IF(0=LEN(ReferenceData!$AW$14),"",ReferenceData!$AW$14),"")</f>
        <v/>
      </c>
      <c r="AX14" t="str">
        <f ca="1">IFERROR(IF(0=LEN(ReferenceData!$AX$14),"",ReferenceData!$AX$14),"")</f>
        <v/>
      </c>
      <c r="AY14" t="str">
        <f ca="1">IFERROR(IF(0=LEN(ReferenceData!$AY$14),"",ReferenceData!$AY$14),"")</f>
        <v/>
      </c>
      <c r="AZ14" t="str">
        <f ca="1">IFERROR(IF(0=LEN(ReferenceData!$AZ$14),"",ReferenceData!$AZ$14),"")</f>
        <v/>
      </c>
      <c r="BA14" t="str">
        <f ca="1">IFERROR(IF(0=LEN(ReferenceData!$BA$14),"",ReferenceData!$BA$14),"")</f>
        <v/>
      </c>
      <c r="BB14" t="str">
        <f ca="1">IFERROR(IF(0=LEN(ReferenceData!$BB$14),"",ReferenceData!$BB$14),"")</f>
        <v/>
      </c>
      <c r="BC14" t="str">
        <f ca="1">IFERROR(IF(0=LEN(ReferenceData!$BC$14),"",ReferenceData!$BC$14),"")</f>
        <v/>
      </c>
      <c r="BD14" t="str">
        <f ca="1">IFERROR(IF(0=LEN(ReferenceData!$BD$14),"",ReferenceData!$BD$14),"")</f>
        <v/>
      </c>
      <c r="BE14" t="str">
        <f ca="1">IFERROR(IF(0=LEN(ReferenceData!$BE$14),"",ReferenceData!$BE$14),"")</f>
        <v/>
      </c>
      <c r="BF14" t="str">
        <f ca="1">IFERROR(IF(0=LEN(ReferenceData!$BF$14),"",ReferenceData!$BF$14),"")</f>
        <v/>
      </c>
      <c r="BG14" t="str">
        <f ca="1">IFERROR(IF(0=LEN(ReferenceData!$BG$14),"",ReferenceData!$BG$14),"")</f>
        <v/>
      </c>
      <c r="BH14" t="str">
        <f ca="1">IFERROR(IF(0=LEN(ReferenceData!$BH$14),"",ReferenceData!$BH$14),"")</f>
        <v/>
      </c>
      <c r="BI14" t="str">
        <f ca="1">IFERROR(IF(0=LEN(ReferenceData!$BI$14),"",ReferenceData!$BI$14),"")</f>
        <v/>
      </c>
      <c r="BJ14" t="str">
        <f ca="1">IFERROR(IF(0=LEN(ReferenceData!$BJ$14),"",ReferenceData!$BJ$14),"")</f>
        <v/>
      </c>
      <c r="BK14" t="str">
        <f ca="1">IFERROR(IF(0=LEN(ReferenceData!$BK$14),"",ReferenceData!$BK$14),"")</f>
        <v/>
      </c>
      <c r="BL14" t="str">
        <f ca="1">IFERROR(IF(0=LEN(ReferenceData!$BL$14),"",ReferenceData!$BL$14),"")</f>
        <v/>
      </c>
      <c r="BM14" t="str">
        <f ca="1">IFERROR(IF(0=LEN(ReferenceData!$BM$14),"",ReferenceData!$BM$14),"")</f>
        <v/>
      </c>
    </row>
    <row r="15" spans="1:65">
      <c r="A15" t="str">
        <f>IFERROR(IF(0=LEN(ReferenceData!$A$15),"",ReferenceData!$A$15),"")</f>
        <v xml:space="preserve">    独栋住宅房地产投资信托总营运现金流</v>
      </c>
      <c r="B15" t="str">
        <f>IFERROR(IF(0=LEN(ReferenceData!$B$15),"",ReferenceData!$B$15),"")</f>
        <v>RECFFOSF Index</v>
      </c>
      <c r="C15" t="str">
        <f>IFERROR(IF(0=LEN(ReferenceData!$C$15),"",ReferenceData!$C$15),"")</f>
        <v>PR005</v>
      </c>
      <c r="D15" t="str">
        <f>IFERROR(IF(0=LEN(ReferenceData!$D$15),"",ReferenceData!$D$15),"")</f>
        <v>PX_LAST</v>
      </c>
      <c r="E15" t="str">
        <f>IFERROR(IF(0=LEN(ReferenceData!$E$15),"",ReferenceData!$E$15),"")</f>
        <v>动态</v>
      </c>
      <c r="F15">
        <f ca="1">IFERROR(IF(0=LEN(ReferenceData!$F$15),"",ReferenceData!$F$15),"")</f>
        <v>150.02517800000001</v>
      </c>
      <c r="G15">
        <f ca="1">IFERROR(IF(0=LEN(ReferenceData!$G$15),"",ReferenceData!$G$15),"")</f>
        <v>148.625</v>
      </c>
      <c r="H15">
        <f ca="1">IFERROR(IF(0=LEN(ReferenceData!$H$15),"",ReferenceData!$H$15),"")</f>
        <v>176.52099999999999</v>
      </c>
      <c r="I15">
        <f ca="1">IFERROR(IF(0=LEN(ReferenceData!$I$15),"",ReferenceData!$I$15),"")</f>
        <v>118.2</v>
      </c>
      <c r="J15">
        <f ca="1">IFERROR(IF(0=LEN(ReferenceData!$J$15),"",ReferenceData!$J$15),"")</f>
        <v>117.67100000000001</v>
      </c>
      <c r="K15">
        <f ca="1">IFERROR(IF(0=LEN(ReferenceData!$K$15),"",ReferenceData!$K$15),"")</f>
        <v>88.182000000000002</v>
      </c>
      <c r="L15">
        <f ca="1">IFERROR(IF(0=LEN(ReferenceData!$L$15),"",ReferenceData!$L$15),"")</f>
        <v>99.075000000000003</v>
      </c>
      <c r="M15">
        <f ca="1">IFERROR(IF(0=LEN(ReferenceData!$M$15),"",ReferenceData!$M$15),"")</f>
        <v>78.02</v>
      </c>
      <c r="N15">
        <f ca="1">IFERROR(IF(0=LEN(ReferenceData!$N$15),"",ReferenceData!$N$15),"")</f>
        <v>42.249000000000002</v>
      </c>
      <c r="O15">
        <f ca="1">IFERROR(IF(0=LEN(ReferenceData!$O$15),"",ReferenceData!$O$15),"")</f>
        <v>56.767000000000003</v>
      </c>
      <c r="P15">
        <f ca="1">IFERROR(IF(0=LEN(ReferenceData!$P$15),"",ReferenceData!$P$15),"")</f>
        <v>67.656000000000006</v>
      </c>
      <c r="Q15">
        <f ca="1">IFERROR(IF(0=LEN(ReferenceData!$Q$15),"",ReferenceData!$Q$15),"")</f>
        <v>52.21</v>
      </c>
      <c r="R15">
        <f ca="1">IFERROR(IF(0=LEN(ReferenceData!$R$15),"",ReferenceData!$R$15),"")</f>
        <v>45.686</v>
      </c>
      <c r="S15">
        <f ca="1">IFERROR(IF(0=LEN(ReferenceData!$S$15),"",ReferenceData!$S$15),"")</f>
        <v>-7.8140000000000001</v>
      </c>
      <c r="T15">
        <f ca="1">IFERROR(IF(0=LEN(ReferenceData!$T$15),"",ReferenceData!$T$15),"")</f>
        <v>28.271999999999998</v>
      </c>
      <c r="U15">
        <f ca="1">IFERROR(IF(0=LEN(ReferenceData!$U$15),"",ReferenceData!$U$15),"")</f>
        <v>17.594000000000001</v>
      </c>
      <c r="V15">
        <f ca="1">IFERROR(IF(0=LEN(ReferenceData!$V$15),"",ReferenceData!$V$15),"")</f>
        <v>21.529</v>
      </c>
      <c r="W15">
        <f ca="1">IFERROR(IF(0=LEN(ReferenceData!$W$15),"",ReferenceData!$W$15),"")</f>
        <v>20.835999999999999</v>
      </c>
      <c r="X15">
        <f ca="1">IFERROR(IF(0=LEN(ReferenceData!$X$15),"",ReferenceData!$X$15),"")</f>
        <v>-5.5659999999999998</v>
      </c>
      <c r="Y15">
        <f ca="1">IFERROR(IF(0=LEN(ReferenceData!$Y$15),"",ReferenceData!$Y$15),"")</f>
        <v>-2.5329999999999999</v>
      </c>
      <c r="Z15">
        <f ca="1">IFERROR(IF(0=LEN(ReferenceData!$Z$15),"",ReferenceData!$Z$15),"")</f>
        <v>0</v>
      </c>
      <c r="AA15">
        <f ca="1">IFERROR(IF(0=LEN(ReferenceData!$AA$15),"",ReferenceData!$AA$15),"")</f>
        <v>0</v>
      </c>
      <c r="AB15">
        <f ca="1">IFERROR(IF(0=LEN(ReferenceData!$AB$15),"",ReferenceData!$AB$15),"")</f>
        <v>0</v>
      </c>
      <c r="AC15">
        <f ca="1">IFERROR(IF(0=LEN(ReferenceData!$AC$15),"",ReferenceData!$AC$15),"")</f>
        <v>0</v>
      </c>
      <c r="AD15">
        <f ca="1">IFERROR(IF(0=LEN(ReferenceData!$AD$15),"",ReferenceData!$AD$15),"")</f>
        <v>0</v>
      </c>
      <c r="AE15">
        <f ca="1">IFERROR(IF(0=LEN(ReferenceData!$AE$15),"",ReferenceData!$AE$15),"")</f>
        <v>0</v>
      </c>
      <c r="AF15">
        <f ca="1">IFERROR(IF(0=LEN(ReferenceData!$AF$15),"",ReferenceData!$AF$15),"")</f>
        <v>0</v>
      </c>
      <c r="AG15">
        <f ca="1">IFERROR(IF(0=LEN(ReferenceData!$AG$15),"",ReferenceData!$AG$15),"")</f>
        <v>0</v>
      </c>
      <c r="AH15">
        <f ca="1">IFERROR(IF(0=LEN(ReferenceData!$AH$15),"",ReferenceData!$AH$15),"")</f>
        <v>0</v>
      </c>
      <c r="AI15">
        <f ca="1">IFERROR(IF(0=LEN(ReferenceData!$AI$15),"",ReferenceData!$AI$15),"")</f>
        <v>0</v>
      </c>
      <c r="AJ15">
        <f ca="1">IFERROR(IF(0=LEN(ReferenceData!$AJ$15),"",ReferenceData!$AJ$15),"")</f>
        <v>0</v>
      </c>
      <c r="AK15">
        <f ca="1">IFERROR(IF(0=LEN(ReferenceData!$AK$15),"",ReferenceData!$AK$15),"")</f>
        <v>0</v>
      </c>
      <c r="AL15">
        <f ca="1">IFERROR(IF(0=LEN(ReferenceData!$AL$15),"",ReferenceData!$AL$15),"")</f>
        <v>0</v>
      </c>
      <c r="AM15">
        <f ca="1">IFERROR(IF(0=LEN(ReferenceData!$AM$15),"",ReferenceData!$AM$15),"")</f>
        <v>0</v>
      </c>
      <c r="AN15">
        <f ca="1">IFERROR(IF(0=LEN(ReferenceData!$AN$15),"",ReferenceData!$AN$15),"")</f>
        <v>0</v>
      </c>
      <c r="AO15">
        <f ca="1">IFERROR(IF(0=LEN(ReferenceData!$AO$15),"",ReferenceData!$AO$15),"")</f>
        <v>0</v>
      </c>
      <c r="AP15">
        <f ca="1">IFERROR(IF(0=LEN(ReferenceData!$AP$15),"",ReferenceData!$AP$15),"")</f>
        <v>0</v>
      </c>
      <c r="AQ15">
        <f ca="1">IFERROR(IF(0=LEN(ReferenceData!$AQ$15),"",ReferenceData!$AQ$15),"")</f>
        <v>0</v>
      </c>
      <c r="AR15">
        <f ca="1">IFERROR(IF(0=LEN(ReferenceData!$AR$15),"",ReferenceData!$AR$15),"")</f>
        <v>0</v>
      </c>
      <c r="AS15">
        <f ca="1">IFERROR(IF(0=LEN(ReferenceData!$AS$15),"",ReferenceData!$AS$15),"")</f>
        <v>0</v>
      </c>
      <c r="AT15">
        <f ca="1">IFERROR(IF(0=LEN(ReferenceData!$AT$15),"",ReferenceData!$AT$15),"")</f>
        <v>0</v>
      </c>
      <c r="AU15">
        <f ca="1">IFERROR(IF(0=LEN(ReferenceData!$AU$15),"",ReferenceData!$AU$15),"")</f>
        <v>0</v>
      </c>
      <c r="AV15">
        <f ca="1">IFERROR(IF(0=LEN(ReferenceData!$AV$15),"",ReferenceData!$AV$15),"")</f>
        <v>0</v>
      </c>
      <c r="AW15">
        <f ca="1">IFERROR(IF(0=LEN(ReferenceData!$AW$15),"",ReferenceData!$AW$15),"")</f>
        <v>0</v>
      </c>
      <c r="AX15">
        <f ca="1">IFERROR(IF(0=LEN(ReferenceData!$AX$15),"",ReferenceData!$AX$15),"")</f>
        <v>0</v>
      </c>
      <c r="AY15">
        <f ca="1">IFERROR(IF(0=LEN(ReferenceData!$AY$15),"",ReferenceData!$AY$15),"")</f>
        <v>0</v>
      </c>
      <c r="AZ15">
        <f ca="1">IFERROR(IF(0=LEN(ReferenceData!$AZ$15),"",ReferenceData!$AZ$15),"")</f>
        <v>0</v>
      </c>
      <c r="BA15">
        <f ca="1">IFERROR(IF(0=LEN(ReferenceData!$BA$15),"",ReferenceData!$BA$15),"")</f>
        <v>0</v>
      </c>
      <c r="BB15">
        <f ca="1">IFERROR(IF(0=LEN(ReferenceData!$BB$15),"",ReferenceData!$BB$15),"")</f>
        <v>0</v>
      </c>
      <c r="BC15">
        <f ca="1">IFERROR(IF(0=LEN(ReferenceData!$BC$15),"",ReferenceData!$BC$15),"")</f>
        <v>0</v>
      </c>
      <c r="BD15">
        <f ca="1">IFERROR(IF(0=LEN(ReferenceData!$BD$15),"",ReferenceData!$BD$15),"")</f>
        <v>0</v>
      </c>
      <c r="BE15">
        <f ca="1">IFERROR(IF(0=LEN(ReferenceData!$BE$15),"",ReferenceData!$BE$15),"")</f>
        <v>0</v>
      </c>
      <c r="BF15">
        <f ca="1">IFERROR(IF(0=LEN(ReferenceData!$BF$15),"",ReferenceData!$BF$15),"")</f>
        <v>0</v>
      </c>
      <c r="BG15">
        <f ca="1">IFERROR(IF(0=LEN(ReferenceData!$BG$15),"",ReferenceData!$BG$15),"")</f>
        <v>0</v>
      </c>
      <c r="BH15">
        <f ca="1">IFERROR(IF(0=LEN(ReferenceData!$BH$15),"",ReferenceData!$BH$15),"")</f>
        <v>0</v>
      </c>
      <c r="BI15">
        <f ca="1">IFERROR(IF(0=LEN(ReferenceData!$BI$15),"",ReferenceData!$BI$15),"")</f>
        <v>0</v>
      </c>
      <c r="BJ15">
        <f ca="1">IFERROR(IF(0=LEN(ReferenceData!$BJ$15),"",ReferenceData!$BJ$15),"")</f>
        <v>0</v>
      </c>
      <c r="BK15">
        <f ca="1">IFERROR(IF(0=LEN(ReferenceData!$BK$15),"",ReferenceData!$BK$15),"")</f>
        <v>0</v>
      </c>
      <c r="BL15">
        <f ca="1">IFERROR(IF(0=LEN(ReferenceData!$BL$15),"",ReferenceData!$BL$15),"")</f>
        <v>0</v>
      </c>
      <c r="BM15">
        <f ca="1">IFERROR(IF(0=LEN(ReferenceData!$BM$15),"",ReferenceData!$BM$15),"")</f>
        <v>0</v>
      </c>
    </row>
    <row r="16" spans="1:65">
      <c r="A16" t="str">
        <f>IFERROR(IF(0=LEN(ReferenceData!$A$16),"",ReferenceData!$A$16),"")</f>
        <v xml:space="preserve">    独栋住宅房地产投资信托净营业利润</v>
      </c>
      <c r="B16" t="str">
        <f>IFERROR(IF(0=LEN(ReferenceData!$B$16),"",ReferenceData!$B$16),"")</f>
        <v>RECFNOSF Index</v>
      </c>
      <c r="C16" t="str">
        <f>IFERROR(IF(0=LEN(ReferenceData!$C$16),"",ReferenceData!$C$16),"")</f>
        <v>PR005</v>
      </c>
      <c r="D16" t="str">
        <f>IFERROR(IF(0=LEN(ReferenceData!$D$16),"",ReferenceData!$D$16),"")</f>
        <v>PX_LAST</v>
      </c>
      <c r="E16" t="str">
        <f>IFERROR(IF(0=LEN(ReferenceData!$E$16),"",ReferenceData!$E$16),"")</f>
        <v>动态</v>
      </c>
      <c r="F16">
        <f ca="1">IFERROR(IF(0=LEN(ReferenceData!$F$16),"",ReferenceData!$F$16),"")</f>
        <v>354.36150579999997</v>
      </c>
      <c r="G16">
        <f ca="1">IFERROR(IF(0=LEN(ReferenceData!$G$16),"",ReferenceData!$G$16),"")</f>
        <v>387.92</v>
      </c>
      <c r="H16">
        <f ca="1">IFERROR(IF(0=LEN(ReferenceData!$H$16),"",ReferenceData!$H$16),"")</f>
        <v>374.62700000000001</v>
      </c>
      <c r="I16">
        <f ca="1">IFERROR(IF(0=LEN(ReferenceData!$I$16),"",ReferenceData!$I$16),"")</f>
        <v>381.56799999999998</v>
      </c>
      <c r="J16">
        <f ca="1">IFERROR(IF(0=LEN(ReferenceData!$J$16),"",ReferenceData!$J$16),"")</f>
        <v>238.10400000000001</v>
      </c>
      <c r="K16">
        <f ca="1">IFERROR(IF(0=LEN(ReferenceData!$K$16),"",ReferenceData!$K$16),"")</f>
        <v>219.286</v>
      </c>
      <c r="L16">
        <f ca="1">IFERROR(IF(0=LEN(ReferenceData!$L$16),"",ReferenceData!$L$16),"")</f>
        <v>219.119</v>
      </c>
      <c r="M16">
        <f ca="1">IFERROR(IF(0=LEN(ReferenceData!$M$16),"",ReferenceData!$M$16),"")</f>
        <v>204.47</v>
      </c>
      <c r="N16">
        <f ca="1">IFERROR(IF(0=LEN(ReferenceData!$N$16),"",ReferenceData!$N$16),"")</f>
        <v>171.565</v>
      </c>
      <c r="O16">
        <f ca="1">IFERROR(IF(0=LEN(ReferenceData!$O$16),"",ReferenceData!$O$16),"")</f>
        <v>169.00299999999999</v>
      </c>
      <c r="P16">
        <f ca="1">IFERROR(IF(0=LEN(ReferenceData!$P$16),"",ReferenceData!$P$16),"")</f>
        <v>140.82599999999999</v>
      </c>
      <c r="Q16">
        <f ca="1">IFERROR(IF(0=LEN(ReferenceData!$Q$16),"",ReferenceData!$Q$16),"")</f>
        <v>126.03700000000001</v>
      </c>
      <c r="R16">
        <f ca="1">IFERROR(IF(0=LEN(ReferenceData!$R$16),"",ReferenceData!$R$16),"")</f>
        <v>102.32899999999999</v>
      </c>
      <c r="S16">
        <f ca="1">IFERROR(IF(0=LEN(ReferenceData!$S$16),"",ReferenceData!$S$16),"")</f>
        <v>91.26</v>
      </c>
      <c r="T16">
        <f ca="1">IFERROR(IF(0=LEN(ReferenceData!$T$16),"",ReferenceData!$T$16),"")</f>
        <v>85.725999999999999</v>
      </c>
      <c r="U16">
        <f ca="1">IFERROR(IF(0=LEN(ReferenceData!$U$16),"",ReferenceData!$U$16),"")</f>
        <v>60.805999999999997</v>
      </c>
      <c r="V16">
        <f ca="1">IFERROR(IF(0=LEN(ReferenceData!$V$16),"",ReferenceData!$V$16),"")</f>
        <v>44.584000000000003</v>
      </c>
      <c r="W16">
        <f ca="1">IFERROR(IF(0=LEN(ReferenceData!$W$16),"",ReferenceData!$W$16),"")</f>
        <v>33.75</v>
      </c>
      <c r="X16">
        <f ca="1">IFERROR(IF(0=LEN(ReferenceData!$X$16),"",ReferenceData!$X$16),"")</f>
        <v>7.09</v>
      </c>
      <c r="Y16">
        <f ca="1">IFERROR(IF(0=LEN(ReferenceData!$Y$16),"",ReferenceData!$Y$16),"")</f>
        <v>2.1509999999999998</v>
      </c>
      <c r="Z16">
        <f ca="1">IFERROR(IF(0=LEN(ReferenceData!$Z$16),"",ReferenceData!$Z$16),"")</f>
        <v>0.53700000000000003</v>
      </c>
      <c r="AA16">
        <f ca="1">IFERROR(IF(0=LEN(ReferenceData!$AA$16),"",ReferenceData!$AA$16),"")</f>
        <v>0</v>
      </c>
      <c r="AB16">
        <f ca="1">IFERROR(IF(0=LEN(ReferenceData!$AB$16),"",ReferenceData!$AB$16),"")</f>
        <v>0</v>
      </c>
      <c r="AC16">
        <f ca="1">IFERROR(IF(0=LEN(ReferenceData!$AC$16),"",ReferenceData!$AC$16),"")</f>
        <v>0</v>
      </c>
      <c r="AD16">
        <f ca="1">IFERROR(IF(0=LEN(ReferenceData!$AD$16),"",ReferenceData!$AD$16),"")</f>
        <v>0</v>
      </c>
      <c r="AE16">
        <f ca="1">IFERROR(IF(0=LEN(ReferenceData!$AE$16),"",ReferenceData!$AE$16),"")</f>
        <v>0</v>
      </c>
      <c r="AF16">
        <f ca="1">IFERROR(IF(0=LEN(ReferenceData!$AF$16),"",ReferenceData!$AF$16),"")</f>
        <v>0</v>
      </c>
      <c r="AG16">
        <f ca="1">IFERROR(IF(0=LEN(ReferenceData!$AG$16),"",ReferenceData!$AG$16),"")</f>
        <v>0</v>
      </c>
      <c r="AH16">
        <f ca="1">IFERROR(IF(0=LEN(ReferenceData!$AH$16),"",ReferenceData!$AH$16),"")</f>
        <v>0</v>
      </c>
      <c r="AI16">
        <f ca="1">IFERROR(IF(0=LEN(ReferenceData!$AI$16),"",ReferenceData!$AI$16),"")</f>
        <v>0</v>
      </c>
      <c r="AJ16">
        <f ca="1">IFERROR(IF(0=LEN(ReferenceData!$AJ$16),"",ReferenceData!$AJ$16),"")</f>
        <v>0</v>
      </c>
      <c r="AK16">
        <f ca="1">IFERROR(IF(0=LEN(ReferenceData!$AK$16),"",ReferenceData!$AK$16),"")</f>
        <v>0</v>
      </c>
      <c r="AL16">
        <f ca="1">IFERROR(IF(0=LEN(ReferenceData!$AL$16),"",ReferenceData!$AL$16),"")</f>
        <v>0</v>
      </c>
      <c r="AM16">
        <f ca="1">IFERROR(IF(0=LEN(ReferenceData!$AM$16),"",ReferenceData!$AM$16),"")</f>
        <v>0</v>
      </c>
      <c r="AN16">
        <f ca="1">IFERROR(IF(0=LEN(ReferenceData!$AN$16),"",ReferenceData!$AN$16),"")</f>
        <v>0</v>
      </c>
      <c r="AO16">
        <f ca="1">IFERROR(IF(0=LEN(ReferenceData!$AO$16),"",ReferenceData!$AO$16),"")</f>
        <v>0</v>
      </c>
      <c r="AP16">
        <f ca="1">IFERROR(IF(0=LEN(ReferenceData!$AP$16),"",ReferenceData!$AP$16),"")</f>
        <v>0</v>
      </c>
      <c r="AQ16">
        <f ca="1">IFERROR(IF(0=LEN(ReferenceData!$AQ$16),"",ReferenceData!$AQ$16),"")</f>
        <v>0</v>
      </c>
      <c r="AR16">
        <f ca="1">IFERROR(IF(0=LEN(ReferenceData!$AR$16),"",ReferenceData!$AR$16),"")</f>
        <v>0</v>
      </c>
      <c r="AS16">
        <f ca="1">IFERROR(IF(0=LEN(ReferenceData!$AS$16),"",ReferenceData!$AS$16),"")</f>
        <v>0</v>
      </c>
      <c r="AT16">
        <f ca="1">IFERROR(IF(0=LEN(ReferenceData!$AT$16),"",ReferenceData!$AT$16),"")</f>
        <v>0</v>
      </c>
      <c r="AU16">
        <f ca="1">IFERROR(IF(0=LEN(ReferenceData!$AU$16),"",ReferenceData!$AU$16),"")</f>
        <v>0</v>
      </c>
      <c r="AV16">
        <f ca="1">IFERROR(IF(0=LEN(ReferenceData!$AV$16),"",ReferenceData!$AV$16),"")</f>
        <v>0</v>
      </c>
      <c r="AW16">
        <f ca="1">IFERROR(IF(0=LEN(ReferenceData!$AW$16),"",ReferenceData!$AW$16),"")</f>
        <v>0</v>
      </c>
      <c r="AX16">
        <f ca="1">IFERROR(IF(0=LEN(ReferenceData!$AX$16),"",ReferenceData!$AX$16),"")</f>
        <v>0</v>
      </c>
      <c r="AY16">
        <f ca="1">IFERROR(IF(0=LEN(ReferenceData!$AY$16),"",ReferenceData!$AY$16),"")</f>
        <v>0</v>
      </c>
      <c r="AZ16">
        <f ca="1">IFERROR(IF(0=LEN(ReferenceData!$AZ$16),"",ReferenceData!$AZ$16),"")</f>
        <v>0</v>
      </c>
      <c r="BA16">
        <f ca="1">IFERROR(IF(0=LEN(ReferenceData!$BA$16),"",ReferenceData!$BA$16),"")</f>
        <v>0</v>
      </c>
      <c r="BB16">
        <f ca="1">IFERROR(IF(0=LEN(ReferenceData!$BB$16),"",ReferenceData!$BB$16),"")</f>
        <v>0</v>
      </c>
      <c r="BC16">
        <f ca="1">IFERROR(IF(0=LEN(ReferenceData!$BC$16),"",ReferenceData!$BC$16),"")</f>
        <v>0</v>
      </c>
      <c r="BD16">
        <f ca="1">IFERROR(IF(0=LEN(ReferenceData!$BD$16),"",ReferenceData!$BD$16),"")</f>
        <v>0</v>
      </c>
      <c r="BE16">
        <f ca="1">IFERROR(IF(0=LEN(ReferenceData!$BE$16),"",ReferenceData!$BE$16),"")</f>
        <v>0</v>
      </c>
      <c r="BF16">
        <f ca="1">IFERROR(IF(0=LEN(ReferenceData!$BF$16),"",ReferenceData!$BF$16),"")</f>
        <v>0</v>
      </c>
      <c r="BG16">
        <f ca="1">IFERROR(IF(0=LEN(ReferenceData!$BG$16),"",ReferenceData!$BG$16),"")</f>
        <v>0</v>
      </c>
      <c r="BH16">
        <f ca="1">IFERROR(IF(0=LEN(ReferenceData!$BH$16),"",ReferenceData!$BH$16),"")</f>
        <v>0</v>
      </c>
      <c r="BI16">
        <f ca="1">IFERROR(IF(0=LEN(ReferenceData!$BI$16),"",ReferenceData!$BI$16),"")</f>
        <v>0</v>
      </c>
      <c r="BJ16">
        <f ca="1">IFERROR(IF(0=LEN(ReferenceData!$BJ$16),"",ReferenceData!$BJ$16),"")</f>
        <v>0</v>
      </c>
      <c r="BK16">
        <f ca="1">IFERROR(IF(0=LEN(ReferenceData!$BK$16),"",ReferenceData!$BK$16),"")</f>
        <v>0</v>
      </c>
      <c r="BL16">
        <f ca="1">IFERROR(IF(0=LEN(ReferenceData!$BL$16),"",ReferenceData!$BL$16),"")</f>
        <v>0</v>
      </c>
      <c r="BM16">
        <f ca="1">IFERROR(IF(0=LEN(ReferenceData!$BM$16),"",ReferenceData!$BM$16),"")</f>
        <v>0</v>
      </c>
    </row>
    <row r="17" spans="1:65">
      <c r="A17" t="str">
        <f>IFERROR(IF(0=LEN(ReferenceData!$A$17),"",ReferenceData!$A$17),"")</f>
        <v xml:space="preserve">    独栋住宅房地产投资信托同店净营业利润增长</v>
      </c>
      <c r="B17" t="str">
        <f>IFERROR(IF(0=LEN(ReferenceData!$B$17),"",ReferenceData!$B$17),"")</f>
        <v>RECFSSSF Index</v>
      </c>
      <c r="C17" t="str">
        <f>IFERROR(IF(0=LEN(ReferenceData!$C$17),"",ReferenceData!$C$17),"")</f>
        <v>PR005</v>
      </c>
      <c r="D17" t="str">
        <f>IFERROR(IF(0=LEN(ReferenceData!$D$17),"",ReferenceData!$D$17),"")</f>
        <v>PX_LAST</v>
      </c>
      <c r="E17" t="str">
        <f>IFERROR(IF(0=LEN(ReferenceData!$E$17),"",ReferenceData!$E$17),"")</f>
        <v>动态</v>
      </c>
      <c r="F17">
        <f ca="1">IFERROR(IF(0=LEN(ReferenceData!$F$17),"",ReferenceData!$F$17),"")</f>
        <v>6.0063084450000002</v>
      </c>
      <c r="G17">
        <f ca="1">IFERROR(IF(0=LEN(ReferenceData!$G$17),"",ReferenceData!$G$17),"")</f>
        <v>6.7626686720000002</v>
      </c>
      <c r="H17">
        <f ca="1">IFERROR(IF(0=LEN(ReferenceData!$H$17),"",ReferenceData!$H$17),"")</f>
        <v>6.830291087</v>
      </c>
      <c r="I17">
        <f ca="1">IFERROR(IF(0=LEN(ReferenceData!$I$17),"",ReferenceData!$I$17),"")</f>
        <v>6.6476969920000002</v>
      </c>
      <c r="J17">
        <f ca="1">IFERROR(IF(0=LEN(ReferenceData!$J$17),"",ReferenceData!$J$17),"")</f>
        <v>13.00590405</v>
      </c>
      <c r="K17">
        <f ca="1">IFERROR(IF(0=LEN(ReferenceData!$K$17),"",ReferenceData!$K$17),"")</f>
        <v>8.7021288899999991</v>
      </c>
      <c r="L17">
        <f ca="1">IFERROR(IF(0=LEN(ReferenceData!$L$17),"",ReferenceData!$L$17),"")</f>
        <v>8.8186380779999993</v>
      </c>
      <c r="M17">
        <f ca="1">IFERROR(IF(0=LEN(ReferenceData!$M$17),"",ReferenceData!$M$17),"")</f>
        <v>7.4502994649999996</v>
      </c>
      <c r="N17">
        <f ca="1">IFERROR(IF(0=LEN(ReferenceData!$N$17),"",ReferenceData!$N$17),"")</f>
        <v>10.333370909999999</v>
      </c>
      <c r="O17">
        <f ca="1">IFERROR(IF(0=LEN(ReferenceData!$O$17),"",ReferenceData!$O$17),"")</f>
        <v>10.13544018</v>
      </c>
      <c r="P17">
        <f ca="1">IFERROR(IF(0=LEN(ReferenceData!$P$17),"",ReferenceData!$P$17),"")</f>
        <v>2.5897339499999998</v>
      </c>
      <c r="Q17">
        <f ca="1">IFERROR(IF(0=LEN(ReferenceData!$Q$17),"",ReferenceData!$Q$17),"")</f>
        <v>2.7325905289999999</v>
      </c>
      <c r="R17">
        <f ca="1">IFERROR(IF(0=LEN(ReferenceData!$R$17),"",ReferenceData!$R$17),"")</f>
        <v>0</v>
      </c>
      <c r="S17">
        <f ca="1">IFERROR(IF(0=LEN(ReferenceData!$S$17),"",ReferenceData!$S$17),"")</f>
        <v>0</v>
      </c>
      <c r="T17">
        <f ca="1">IFERROR(IF(0=LEN(ReferenceData!$T$17),"",ReferenceData!$T$17),"")</f>
        <v>0</v>
      </c>
      <c r="U17">
        <f ca="1">IFERROR(IF(0=LEN(ReferenceData!$U$17),"",ReferenceData!$U$17),"")</f>
        <v>0</v>
      </c>
      <c r="V17">
        <f ca="1">IFERROR(IF(0=LEN(ReferenceData!$V$17),"",ReferenceData!$V$17),"")</f>
        <v>0</v>
      </c>
      <c r="W17">
        <f ca="1">IFERROR(IF(0=LEN(ReferenceData!$W$17),"",ReferenceData!$W$17),"")</f>
        <v>0</v>
      </c>
      <c r="X17">
        <f ca="1">IFERROR(IF(0=LEN(ReferenceData!$X$17),"",ReferenceData!$X$17),"")</f>
        <v>0</v>
      </c>
      <c r="Y17">
        <f ca="1">IFERROR(IF(0=LEN(ReferenceData!$Y$17),"",ReferenceData!$Y$17),"")</f>
        <v>0</v>
      </c>
      <c r="Z17">
        <f ca="1">IFERROR(IF(0=LEN(ReferenceData!$Z$17),"",ReferenceData!$Z$17),"")</f>
        <v>0</v>
      </c>
      <c r="AA17">
        <f ca="1">IFERROR(IF(0=LEN(ReferenceData!$AA$17),"",ReferenceData!$AA$17),"")</f>
        <v>0</v>
      </c>
      <c r="AB17">
        <f ca="1">IFERROR(IF(0=LEN(ReferenceData!$AB$17),"",ReferenceData!$AB$17),"")</f>
        <v>0</v>
      </c>
      <c r="AC17">
        <f ca="1">IFERROR(IF(0=LEN(ReferenceData!$AC$17),"",ReferenceData!$AC$17),"")</f>
        <v>0</v>
      </c>
      <c r="AD17">
        <f ca="1">IFERROR(IF(0=LEN(ReferenceData!$AD$17),"",ReferenceData!$AD$17),"")</f>
        <v>0</v>
      </c>
      <c r="AE17">
        <f ca="1">IFERROR(IF(0=LEN(ReferenceData!$AE$17),"",ReferenceData!$AE$17),"")</f>
        <v>0</v>
      </c>
      <c r="AF17">
        <f ca="1">IFERROR(IF(0=LEN(ReferenceData!$AF$17),"",ReferenceData!$AF$17),"")</f>
        <v>0</v>
      </c>
      <c r="AG17">
        <f ca="1">IFERROR(IF(0=LEN(ReferenceData!$AG$17),"",ReferenceData!$AG$17),"")</f>
        <v>0</v>
      </c>
      <c r="AH17">
        <f ca="1">IFERROR(IF(0=LEN(ReferenceData!$AH$17),"",ReferenceData!$AH$17),"")</f>
        <v>0</v>
      </c>
      <c r="AI17">
        <f ca="1">IFERROR(IF(0=LEN(ReferenceData!$AI$17),"",ReferenceData!$AI$17),"")</f>
        <v>0</v>
      </c>
      <c r="AJ17">
        <f ca="1">IFERROR(IF(0=LEN(ReferenceData!$AJ$17),"",ReferenceData!$AJ$17),"")</f>
        <v>0</v>
      </c>
      <c r="AK17">
        <f ca="1">IFERROR(IF(0=LEN(ReferenceData!$AK$17),"",ReferenceData!$AK$17),"")</f>
        <v>0</v>
      </c>
      <c r="AL17">
        <f ca="1">IFERROR(IF(0=LEN(ReferenceData!$AL$17),"",ReferenceData!$AL$17),"")</f>
        <v>0</v>
      </c>
      <c r="AM17">
        <f ca="1">IFERROR(IF(0=LEN(ReferenceData!$AM$17),"",ReferenceData!$AM$17),"")</f>
        <v>0</v>
      </c>
      <c r="AN17">
        <f ca="1">IFERROR(IF(0=LEN(ReferenceData!$AN$17),"",ReferenceData!$AN$17),"")</f>
        <v>0</v>
      </c>
      <c r="AO17">
        <f ca="1">IFERROR(IF(0=LEN(ReferenceData!$AO$17),"",ReferenceData!$AO$17),"")</f>
        <v>0</v>
      </c>
      <c r="AP17">
        <f ca="1">IFERROR(IF(0=LEN(ReferenceData!$AP$17),"",ReferenceData!$AP$17),"")</f>
        <v>0</v>
      </c>
      <c r="AQ17">
        <f ca="1">IFERROR(IF(0=LEN(ReferenceData!$AQ$17),"",ReferenceData!$AQ$17),"")</f>
        <v>0</v>
      </c>
      <c r="AR17">
        <f ca="1">IFERROR(IF(0=LEN(ReferenceData!$AR$17),"",ReferenceData!$AR$17),"")</f>
        <v>0</v>
      </c>
      <c r="AS17">
        <f ca="1">IFERROR(IF(0=LEN(ReferenceData!$AS$17),"",ReferenceData!$AS$17),"")</f>
        <v>0</v>
      </c>
      <c r="AT17">
        <f ca="1">IFERROR(IF(0=LEN(ReferenceData!$AT$17),"",ReferenceData!$AT$17),"")</f>
        <v>0</v>
      </c>
      <c r="AU17">
        <f ca="1">IFERROR(IF(0=LEN(ReferenceData!$AU$17),"",ReferenceData!$AU$17),"")</f>
        <v>0</v>
      </c>
      <c r="AV17">
        <f ca="1">IFERROR(IF(0=LEN(ReferenceData!$AV$17),"",ReferenceData!$AV$17),"")</f>
        <v>0</v>
      </c>
      <c r="AW17">
        <f ca="1">IFERROR(IF(0=LEN(ReferenceData!$AW$17),"",ReferenceData!$AW$17),"")</f>
        <v>0</v>
      </c>
      <c r="AX17">
        <f ca="1">IFERROR(IF(0=LEN(ReferenceData!$AX$17),"",ReferenceData!$AX$17),"")</f>
        <v>0</v>
      </c>
      <c r="AY17">
        <f ca="1">IFERROR(IF(0=LEN(ReferenceData!$AY$17),"",ReferenceData!$AY$17),"")</f>
        <v>0</v>
      </c>
      <c r="AZ17">
        <f ca="1">IFERROR(IF(0=LEN(ReferenceData!$AZ$17),"",ReferenceData!$AZ$17),"")</f>
        <v>0</v>
      </c>
      <c r="BA17">
        <f ca="1">IFERROR(IF(0=LEN(ReferenceData!$BA$17),"",ReferenceData!$BA$17),"")</f>
        <v>0</v>
      </c>
      <c r="BB17">
        <f ca="1">IFERROR(IF(0=LEN(ReferenceData!$BB$17),"",ReferenceData!$BB$17),"")</f>
        <v>0</v>
      </c>
      <c r="BC17">
        <f ca="1">IFERROR(IF(0=LEN(ReferenceData!$BC$17),"",ReferenceData!$BC$17),"")</f>
        <v>0</v>
      </c>
      <c r="BD17">
        <f ca="1">IFERROR(IF(0=LEN(ReferenceData!$BD$17),"",ReferenceData!$BD$17),"")</f>
        <v>0</v>
      </c>
      <c r="BE17">
        <f ca="1">IFERROR(IF(0=LEN(ReferenceData!$BE$17),"",ReferenceData!$BE$17),"")</f>
        <v>0</v>
      </c>
      <c r="BF17">
        <f ca="1">IFERROR(IF(0=LEN(ReferenceData!$BF$17),"",ReferenceData!$BF$17),"")</f>
        <v>0</v>
      </c>
      <c r="BG17">
        <f ca="1">IFERROR(IF(0=LEN(ReferenceData!$BG$17),"",ReferenceData!$BG$17),"")</f>
        <v>0</v>
      </c>
      <c r="BH17">
        <f ca="1">IFERROR(IF(0=LEN(ReferenceData!$BH$17),"",ReferenceData!$BH$17),"")</f>
        <v>0</v>
      </c>
      <c r="BI17">
        <f ca="1">IFERROR(IF(0=LEN(ReferenceData!$BI$17),"",ReferenceData!$BI$17),"")</f>
        <v>0</v>
      </c>
      <c r="BJ17">
        <f ca="1">IFERROR(IF(0=LEN(ReferenceData!$BJ$17),"",ReferenceData!$BJ$17),"")</f>
        <v>0</v>
      </c>
      <c r="BK17">
        <f ca="1">IFERROR(IF(0=LEN(ReferenceData!$BK$17),"",ReferenceData!$BK$17),"")</f>
        <v>0</v>
      </c>
      <c r="BL17">
        <f ca="1">IFERROR(IF(0=LEN(ReferenceData!$BL$17),"",ReferenceData!$BL$17),"")</f>
        <v>0</v>
      </c>
      <c r="BM17">
        <f ca="1">IFERROR(IF(0=LEN(ReferenceData!$BM$17),"",ReferenceData!$BM$17),"")</f>
        <v>0</v>
      </c>
    </row>
    <row r="18" spans="1:65">
      <c r="A18" t="str">
        <f>IFERROR(IF(0=LEN(ReferenceData!$A$18),"",ReferenceData!$A$18),"")</f>
        <v xml:space="preserve">    独栋住宅房地产投资信托总股利支付</v>
      </c>
      <c r="B18" t="str">
        <f>IFERROR(IF(0=LEN(ReferenceData!$B$18),"",ReferenceData!$B$18),"")</f>
        <v>RECFTDSF Index</v>
      </c>
      <c r="C18" t="str">
        <f>IFERROR(IF(0=LEN(ReferenceData!$C$18),"",ReferenceData!$C$18),"")</f>
        <v>PR005</v>
      </c>
      <c r="D18" t="str">
        <f>IFERROR(IF(0=LEN(ReferenceData!$D$18),"",ReferenceData!$D$18),"")</f>
        <v>PX_LAST</v>
      </c>
      <c r="E18" t="str">
        <f>IFERROR(IF(0=LEN(ReferenceData!$E$18),"",ReferenceData!$E$18),"")</f>
        <v>动态</v>
      </c>
      <c r="F18">
        <f ca="1">IFERROR(IF(0=LEN(ReferenceData!$F$18),"",ReferenceData!$F$18),"")</f>
        <v>67.655193550000007</v>
      </c>
      <c r="G18">
        <f ca="1">IFERROR(IF(0=LEN(ReferenceData!$G$18),"",ReferenceData!$G$18),"")</f>
        <v>96.566000000000003</v>
      </c>
      <c r="H18">
        <f ca="1">IFERROR(IF(0=LEN(ReferenceData!$H$18),"",ReferenceData!$H$18),"")</f>
        <v>85.74</v>
      </c>
      <c r="I18">
        <f ca="1">IFERROR(IF(0=LEN(ReferenceData!$I$18),"",ReferenceData!$I$18),"")</f>
        <v>57.502000000000002</v>
      </c>
      <c r="J18">
        <f ca="1">IFERROR(IF(0=LEN(ReferenceData!$J$18),"",ReferenceData!$J$18),"")</f>
        <v>57.326000000000001</v>
      </c>
      <c r="K18">
        <f ca="1">IFERROR(IF(0=LEN(ReferenceData!$K$18),"",ReferenceData!$K$18),"")</f>
        <v>59.944000000000003</v>
      </c>
      <c r="L18">
        <f ca="1">IFERROR(IF(0=LEN(ReferenceData!$L$18),"",ReferenceData!$L$18),"")</f>
        <v>52.24</v>
      </c>
      <c r="M18">
        <f ca="1">IFERROR(IF(0=LEN(ReferenceData!$M$18),"",ReferenceData!$M$18),"")</f>
        <v>25.875</v>
      </c>
      <c r="N18">
        <f ca="1">IFERROR(IF(0=LEN(ReferenceData!$N$18),"",ReferenceData!$N$18),"")</f>
        <v>53</v>
      </c>
      <c r="O18">
        <f ca="1">IFERROR(IF(0=LEN(ReferenceData!$O$18),"",ReferenceData!$O$18),"")</f>
        <v>35.500999999999998</v>
      </c>
      <c r="P18">
        <f ca="1">IFERROR(IF(0=LEN(ReferenceData!$P$18),"",ReferenceData!$P$18),"")</f>
        <v>31.125</v>
      </c>
      <c r="Q18">
        <f ca="1">IFERROR(IF(0=LEN(ReferenceData!$Q$18),"",ReferenceData!$Q$18),"")</f>
        <v>30.085999999999999</v>
      </c>
      <c r="R18">
        <f ca="1">IFERROR(IF(0=LEN(ReferenceData!$R$18),"",ReferenceData!$R$18),"")</f>
        <v>29.26</v>
      </c>
      <c r="S18">
        <f ca="1">IFERROR(IF(0=LEN(ReferenceData!$S$18),"",ReferenceData!$S$18),"")</f>
        <v>23.460999999999999</v>
      </c>
      <c r="T18">
        <f ca="1">IFERROR(IF(0=LEN(ReferenceData!$T$18),"",ReferenceData!$T$18),"")</f>
        <v>21.83</v>
      </c>
      <c r="U18">
        <f ca="1">IFERROR(IF(0=LEN(ReferenceData!$U$18),"",ReferenceData!$U$18),"")</f>
        <v>19.370999999999999</v>
      </c>
      <c r="V18">
        <f ca="1">IFERROR(IF(0=LEN(ReferenceData!$V$18),"",ReferenceData!$V$18),"")</f>
        <v>6.9050000000000002</v>
      </c>
      <c r="W18">
        <f ca="1">IFERROR(IF(0=LEN(ReferenceData!$W$18),"",ReferenceData!$W$18),"")</f>
        <v>1.032</v>
      </c>
      <c r="X18">
        <f ca="1">IFERROR(IF(0=LEN(ReferenceData!$X$18),"",ReferenceData!$X$18),"")</f>
        <v>0.45</v>
      </c>
      <c r="Y18">
        <f ca="1">IFERROR(IF(0=LEN(ReferenceData!$Y$18),"",ReferenceData!$Y$18),"")</f>
        <v>0</v>
      </c>
      <c r="Z18">
        <f ca="1">IFERROR(IF(0=LEN(ReferenceData!$Z$18),"",ReferenceData!$Z$18),"")</f>
        <v>0</v>
      </c>
      <c r="AA18">
        <f ca="1">IFERROR(IF(0=LEN(ReferenceData!$AA$18),"",ReferenceData!$AA$18),"")</f>
        <v>0</v>
      </c>
      <c r="AB18">
        <f ca="1">IFERROR(IF(0=LEN(ReferenceData!$AB$18),"",ReferenceData!$AB$18),"")</f>
        <v>0</v>
      </c>
      <c r="AC18">
        <f ca="1">IFERROR(IF(0=LEN(ReferenceData!$AC$18),"",ReferenceData!$AC$18),"")</f>
        <v>0</v>
      </c>
      <c r="AD18">
        <f ca="1">IFERROR(IF(0=LEN(ReferenceData!$AD$18),"",ReferenceData!$AD$18),"")</f>
        <v>0</v>
      </c>
      <c r="AE18">
        <f ca="1">IFERROR(IF(0=LEN(ReferenceData!$AE$18),"",ReferenceData!$AE$18),"")</f>
        <v>0</v>
      </c>
      <c r="AF18">
        <f ca="1">IFERROR(IF(0=LEN(ReferenceData!$AF$18),"",ReferenceData!$AF$18),"")</f>
        <v>0</v>
      </c>
      <c r="AG18">
        <f ca="1">IFERROR(IF(0=LEN(ReferenceData!$AG$18),"",ReferenceData!$AG$18),"")</f>
        <v>0</v>
      </c>
      <c r="AH18">
        <f ca="1">IFERROR(IF(0=LEN(ReferenceData!$AH$18),"",ReferenceData!$AH$18),"")</f>
        <v>0</v>
      </c>
      <c r="AI18">
        <f ca="1">IFERROR(IF(0=LEN(ReferenceData!$AI$18),"",ReferenceData!$AI$18),"")</f>
        <v>0</v>
      </c>
      <c r="AJ18">
        <f ca="1">IFERROR(IF(0=LEN(ReferenceData!$AJ$18),"",ReferenceData!$AJ$18),"")</f>
        <v>0</v>
      </c>
      <c r="AK18">
        <f ca="1">IFERROR(IF(0=LEN(ReferenceData!$AK$18),"",ReferenceData!$AK$18),"")</f>
        <v>0</v>
      </c>
      <c r="AL18">
        <f ca="1">IFERROR(IF(0=LEN(ReferenceData!$AL$18),"",ReferenceData!$AL$18),"")</f>
        <v>0</v>
      </c>
      <c r="AM18">
        <f ca="1">IFERROR(IF(0=LEN(ReferenceData!$AM$18),"",ReferenceData!$AM$18),"")</f>
        <v>0</v>
      </c>
      <c r="AN18">
        <f ca="1">IFERROR(IF(0=LEN(ReferenceData!$AN$18),"",ReferenceData!$AN$18),"")</f>
        <v>0</v>
      </c>
      <c r="AO18">
        <f ca="1">IFERROR(IF(0=LEN(ReferenceData!$AO$18),"",ReferenceData!$AO$18),"")</f>
        <v>0</v>
      </c>
      <c r="AP18">
        <f ca="1">IFERROR(IF(0=LEN(ReferenceData!$AP$18),"",ReferenceData!$AP$18),"")</f>
        <v>0</v>
      </c>
      <c r="AQ18">
        <f ca="1">IFERROR(IF(0=LEN(ReferenceData!$AQ$18),"",ReferenceData!$AQ$18),"")</f>
        <v>0</v>
      </c>
      <c r="AR18">
        <f ca="1">IFERROR(IF(0=LEN(ReferenceData!$AR$18),"",ReferenceData!$AR$18),"")</f>
        <v>0</v>
      </c>
      <c r="AS18">
        <f ca="1">IFERROR(IF(0=LEN(ReferenceData!$AS$18),"",ReferenceData!$AS$18),"")</f>
        <v>0</v>
      </c>
      <c r="AT18">
        <f ca="1">IFERROR(IF(0=LEN(ReferenceData!$AT$18),"",ReferenceData!$AT$18),"")</f>
        <v>0</v>
      </c>
      <c r="AU18">
        <f ca="1">IFERROR(IF(0=LEN(ReferenceData!$AU$18),"",ReferenceData!$AU$18),"")</f>
        <v>0</v>
      </c>
      <c r="AV18">
        <f ca="1">IFERROR(IF(0=LEN(ReferenceData!$AV$18),"",ReferenceData!$AV$18),"")</f>
        <v>0</v>
      </c>
      <c r="AW18">
        <f ca="1">IFERROR(IF(0=LEN(ReferenceData!$AW$18),"",ReferenceData!$AW$18),"")</f>
        <v>0</v>
      </c>
      <c r="AX18">
        <f ca="1">IFERROR(IF(0=LEN(ReferenceData!$AX$18),"",ReferenceData!$AX$18),"")</f>
        <v>0</v>
      </c>
      <c r="AY18">
        <f ca="1">IFERROR(IF(0=LEN(ReferenceData!$AY$18),"",ReferenceData!$AY$18),"")</f>
        <v>0</v>
      </c>
      <c r="AZ18">
        <f ca="1">IFERROR(IF(0=LEN(ReferenceData!$AZ$18),"",ReferenceData!$AZ$18),"")</f>
        <v>0</v>
      </c>
      <c r="BA18">
        <f ca="1">IFERROR(IF(0=LEN(ReferenceData!$BA$18),"",ReferenceData!$BA$18),"")</f>
        <v>0</v>
      </c>
      <c r="BB18">
        <f ca="1">IFERROR(IF(0=LEN(ReferenceData!$BB$18),"",ReferenceData!$BB$18),"")</f>
        <v>0</v>
      </c>
      <c r="BC18">
        <f ca="1">IFERROR(IF(0=LEN(ReferenceData!$BC$18),"",ReferenceData!$BC$18),"")</f>
        <v>0</v>
      </c>
      <c r="BD18">
        <f ca="1">IFERROR(IF(0=LEN(ReferenceData!$BD$18),"",ReferenceData!$BD$18),"")</f>
        <v>0</v>
      </c>
      <c r="BE18">
        <f ca="1">IFERROR(IF(0=LEN(ReferenceData!$BE$18),"",ReferenceData!$BE$18),"")</f>
        <v>0</v>
      </c>
      <c r="BF18">
        <f ca="1">IFERROR(IF(0=LEN(ReferenceData!$BF$18),"",ReferenceData!$BF$18),"")</f>
        <v>0</v>
      </c>
      <c r="BG18">
        <f ca="1">IFERROR(IF(0=LEN(ReferenceData!$BG$18),"",ReferenceData!$BG$18),"")</f>
        <v>0</v>
      </c>
      <c r="BH18">
        <f ca="1">IFERROR(IF(0=LEN(ReferenceData!$BH$18),"",ReferenceData!$BH$18),"")</f>
        <v>0</v>
      </c>
      <c r="BI18">
        <f ca="1">IFERROR(IF(0=LEN(ReferenceData!$BI$18),"",ReferenceData!$BI$18),"")</f>
        <v>0</v>
      </c>
      <c r="BJ18">
        <f ca="1">IFERROR(IF(0=LEN(ReferenceData!$BJ$18),"",ReferenceData!$BJ$18),"")</f>
        <v>0</v>
      </c>
      <c r="BK18">
        <f ca="1">IFERROR(IF(0=LEN(ReferenceData!$BK$18),"",ReferenceData!$BK$18),"")</f>
        <v>0</v>
      </c>
      <c r="BL18">
        <f ca="1">IFERROR(IF(0=LEN(ReferenceData!$BL$18),"",ReferenceData!$BL$18),"")</f>
        <v>0</v>
      </c>
      <c r="BM18">
        <f ca="1">IFERROR(IF(0=LEN(ReferenceData!$BM$18),"",ReferenceData!$BM$18),"")</f>
        <v>0</v>
      </c>
    </row>
    <row r="19" spans="1:65">
      <c r="A19" t="str">
        <f>IFERROR(IF(0=LEN(ReferenceData!$A$19),"",ReferenceData!$A$19),"")</f>
        <v>预制房房地产投资信托数据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静态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 t="str">
        <f ca="1">IFERROR(IF(0=LEN(ReferenceData!$P$19),"",ReferenceData!$P$19),"")</f>
        <v/>
      </c>
      <c r="Q19" t="str">
        <f ca="1">IFERROR(IF(0=LEN(ReferenceData!$Q$19),"",ReferenceData!$Q$19),"")</f>
        <v/>
      </c>
      <c r="R19" t="str">
        <f ca="1">IFERROR(IF(0=LEN(ReferenceData!$R$19),"",ReferenceData!$R$19),"")</f>
        <v/>
      </c>
      <c r="S19" t="str">
        <f ca="1">IFERROR(IF(0=LEN(ReferenceData!$S$19),"",ReferenceData!$S$19),"")</f>
        <v/>
      </c>
      <c r="T19" t="str">
        <f ca="1">IFERROR(IF(0=LEN(ReferenceData!$T$19),"",ReferenceData!$T$19),"")</f>
        <v/>
      </c>
      <c r="U19" t="str">
        <f ca="1">IFERROR(IF(0=LEN(ReferenceData!$U$19),"",ReferenceData!$U$19),"")</f>
        <v/>
      </c>
      <c r="V19" t="str">
        <f ca="1">IFERROR(IF(0=LEN(ReferenceData!$V$19),"",ReferenceData!$V$19),"")</f>
        <v/>
      </c>
      <c r="W19" t="str">
        <f ca="1">IFERROR(IF(0=LEN(ReferenceData!$W$19),"",ReferenceData!$W$19),"")</f>
        <v/>
      </c>
      <c r="X19" t="str">
        <f ca="1">IFERROR(IF(0=LEN(ReferenceData!$X$19),"",ReferenceData!$X$19),"")</f>
        <v/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预制房房地产投资信托总营运现金流</v>
      </c>
      <c r="B20" t="str">
        <f>IFERROR(IF(0=LEN(ReferenceData!$B$20),"",ReferenceData!$B$20),"")</f>
        <v>RECFFOMH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动态</v>
      </c>
      <c r="F20">
        <f ca="1">IFERROR(IF(0=LEN(ReferenceData!$F$20),"",ReferenceData!$F$20),"")</f>
        <v>157.8772213</v>
      </c>
      <c r="G20">
        <f ca="1">IFERROR(IF(0=LEN(ReferenceData!$G$20),"",ReferenceData!$G$20),"")</f>
        <v>173.03299999999999</v>
      </c>
      <c r="H20">
        <f ca="1">IFERROR(IF(0=LEN(ReferenceData!$H$20),"",ReferenceData!$H$20),"")</f>
        <v>154.654</v>
      </c>
      <c r="I20">
        <f ca="1">IFERROR(IF(0=LEN(ReferenceData!$I$20),"",ReferenceData!$I$20),"")</f>
        <v>181.50800000000001</v>
      </c>
      <c r="J20">
        <f ca="1">IFERROR(IF(0=LEN(ReferenceData!$J$20),"",ReferenceData!$J$20),"")</f>
        <v>135.72</v>
      </c>
      <c r="K20">
        <f ca="1">IFERROR(IF(0=LEN(ReferenceData!$K$20),"",ReferenceData!$K$20),"")</f>
        <v>160.17599999999999</v>
      </c>
      <c r="L20">
        <f ca="1">IFERROR(IF(0=LEN(ReferenceData!$L$20),"",ReferenceData!$L$20),"")</f>
        <v>111.446</v>
      </c>
      <c r="M20">
        <f ca="1">IFERROR(IF(0=LEN(ReferenceData!$M$20),"",ReferenceData!$M$20),"")</f>
        <v>142.46899999999999</v>
      </c>
      <c r="N20">
        <f ca="1">IFERROR(IF(0=LEN(ReferenceData!$N$20),"",ReferenceData!$N$20),"")</f>
        <v>113.389</v>
      </c>
      <c r="O20">
        <f ca="1">IFERROR(IF(0=LEN(ReferenceData!$O$20),"",ReferenceData!$O$20),"")</f>
        <v>129.77699999999999</v>
      </c>
      <c r="P20">
        <f ca="1">IFERROR(IF(0=LEN(ReferenceData!$P$20),"",ReferenceData!$P$20),"")</f>
        <v>121.985</v>
      </c>
      <c r="Q20">
        <f ca="1">IFERROR(IF(0=LEN(ReferenceData!$Q$20),"",ReferenceData!$Q$20),"")</f>
        <v>101.101</v>
      </c>
      <c r="R20">
        <f ca="1">IFERROR(IF(0=LEN(ReferenceData!$R$20),"",ReferenceData!$R$20),"")</f>
        <v>89.74</v>
      </c>
      <c r="S20">
        <f ca="1">IFERROR(IF(0=LEN(ReferenceData!$S$20),"",ReferenceData!$S$20),"")</f>
        <v>99.802000000000007</v>
      </c>
      <c r="T20">
        <f ca="1">IFERROR(IF(0=LEN(ReferenceData!$T$20),"",ReferenceData!$T$20),"")</f>
        <v>94.352999999999994</v>
      </c>
      <c r="U20">
        <f ca="1">IFERROR(IF(0=LEN(ReferenceData!$U$20),"",ReferenceData!$U$20),"")</f>
        <v>110.996</v>
      </c>
      <c r="V20">
        <f ca="1">IFERROR(IF(0=LEN(ReferenceData!$V$20),"",ReferenceData!$V$20),"")</f>
        <v>84.983000000000004</v>
      </c>
      <c r="W20">
        <f ca="1">IFERROR(IF(0=LEN(ReferenceData!$W$20),"",ReferenceData!$W$20),"")</f>
        <v>53.77</v>
      </c>
      <c r="X20">
        <f ca="1">IFERROR(IF(0=LEN(ReferenceData!$X$20),"",ReferenceData!$X$20),"")</f>
        <v>79.518000000000001</v>
      </c>
      <c r="Y20">
        <f ca="1">IFERROR(IF(0=LEN(ReferenceData!$Y$20),"",ReferenceData!$Y$20),"")</f>
        <v>100.34</v>
      </c>
      <c r="Z20">
        <f ca="1">IFERROR(IF(0=LEN(ReferenceData!$Z$20),"",ReferenceData!$Z$20),"")</f>
        <v>75.209000000000003</v>
      </c>
      <c r="AA20">
        <f ca="1">IFERROR(IF(0=LEN(ReferenceData!$AA$20),"",ReferenceData!$AA$20),"")</f>
        <v>75.92</v>
      </c>
      <c r="AB20">
        <f ca="1">IFERROR(IF(0=LEN(ReferenceData!$AB$20),"",ReferenceData!$AB$20),"")</f>
        <v>73.307000000000002</v>
      </c>
      <c r="AC20">
        <f ca="1">IFERROR(IF(0=LEN(ReferenceData!$AC$20),"",ReferenceData!$AC$20),"")</f>
        <v>87.114000000000004</v>
      </c>
      <c r="AD20">
        <f ca="1">IFERROR(IF(0=LEN(ReferenceData!$AD$20),"",ReferenceData!$AD$20),"")</f>
        <v>65.879000000000005</v>
      </c>
      <c r="AE20">
        <f ca="1">IFERROR(IF(0=LEN(ReferenceData!$AE$20),"",ReferenceData!$AE$20),"")</f>
        <v>53.164000000000001</v>
      </c>
      <c r="AF20">
        <f ca="1">IFERROR(IF(0=LEN(ReferenceData!$AF$20),"",ReferenceData!$AF$20),"")</f>
        <v>45.902999999999999</v>
      </c>
      <c r="AG20">
        <f ca="1">IFERROR(IF(0=LEN(ReferenceData!$AG$20),"",ReferenceData!$AG$20),"")</f>
        <v>63.768999999999998</v>
      </c>
      <c r="AH20">
        <f ca="1">IFERROR(IF(0=LEN(ReferenceData!$AH$20),"",ReferenceData!$AH$20),"")</f>
        <v>47.328000000000003</v>
      </c>
      <c r="AI20">
        <f ca="1">IFERROR(IF(0=LEN(ReferenceData!$AI$20),"",ReferenceData!$AI$20),"")</f>
        <v>50.578000000000003</v>
      </c>
      <c r="AJ20">
        <f ca="1">IFERROR(IF(0=LEN(ReferenceData!$AJ$20),"",ReferenceData!$AJ$20),"")</f>
        <v>43.406999999999996</v>
      </c>
      <c r="AK20">
        <f ca="1">IFERROR(IF(0=LEN(ReferenceData!$AK$20),"",ReferenceData!$AK$20),"")</f>
        <v>58.634999999999998</v>
      </c>
      <c r="AL20">
        <f ca="1">IFERROR(IF(0=LEN(ReferenceData!$AL$20),"",ReferenceData!$AL$20),"")</f>
        <v>48.116</v>
      </c>
      <c r="AM20">
        <f ca="1">IFERROR(IF(0=LEN(ReferenceData!$AM$20),"",ReferenceData!$AM$20),"")</f>
        <v>43.652999999999999</v>
      </c>
      <c r="AN20">
        <f ca="1">IFERROR(IF(0=LEN(ReferenceData!$AN$20),"",ReferenceData!$AN$20),"")</f>
        <v>38.427</v>
      </c>
      <c r="AO20">
        <f ca="1">IFERROR(IF(0=LEN(ReferenceData!$AO$20),"",ReferenceData!$AO$20),"")</f>
        <v>54.058</v>
      </c>
      <c r="AP20">
        <f ca="1">IFERROR(IF(0=LEN(ReferenceData!$AP$20),"",ReferenceData!$AP$20),"")</f>
        <v>21.315999999999999</v>
      </c>
      <c r="AQ20">
        <f ca="1">IFERROR(IF(0=LEN(ReferenceData!$AQ$20),"",ReferenceData!$AQ$20),"")</f>
        <v>38.725999999999999</v>
      </c>
      <c r="AR20">
        <f ca="1">IFERROR(IF(0=LEN(ReferenceData!$AR$20),"",ReferenceData!$AR$20),"")</f>
        <v>31.242000000000001</v>
      </c>
      <c r="AS20">
        <f ca="1">IFERROR(IF(0=LEN(ReferenceData!$AS$20),"",ReferenceData!$AS$20),"")</f>
        <v>44.633000000000003</v>
      </c>
      <c r="AT20">
        <f ca="1">IFERROR(IF(0=LEN(ReferenceData!$AT$20),"",ReferenceData!$AT$20),"")</f>
        <v>29.071000000000002</v>
      </c>
      <c r="AU20">
        <f ca="1">IFERROR(IF(0=LEN(ReferenceData!$AU$20),"",ReferenceData!$AU$20),"")</f>
        <v>36.81</v>
      </c>
      <c r="AV20">
        <f ca="1">IFERROR(IF(0=LEN(ReferenceData!$AV$20),"",ReferenceData!$AV$20),"")</f>
        <v>37.576000000000001</v>
      </c>
      <c r="AW20">
        <f ca="1">IFERROR(IF(0=LEN(ReferenceData!$AW$20),"",ReferenceData!$AW$20),"")</f>
        <v>51.832000000000001</v>
      </c>
      <c r="AX20">
        <f ca="1">IFERROR(IF(0=LEN(ReferenceData!$AX$20),"",ReferenceData!$AX$20),"")</f>
        <v>20.219000000000001</v>
      </c>
      <c r="AY20">
        <f ca="1">IFERROR(IF(0=LEN(ReferenceData!$AY$20),"",ReferenceData!$AY$20),"")</f>
        <v>36.993000000000002</v>
      </c>
      <c r="AZ20">
        <f ca="1">IFERROR(IF(0=LEN(ReferenceData!$AZ$20),"",ReferenceData!$AZ$20),"")</f>
        <v>35.628999999999998</v>
      </c>
      <c r="BA20">
        <f ca="1">IFERROR(IF(0=LEN(ReferenceData!$BA$20),"",ReferenceData!$BA$20),"")</f>
        <v>49.831000000000003</v>
      </c>
      <c r="BB20">
        <f ca="1">IFERROR(IF(0=LEN(ReferenceData!$BB$20),"",ReferenceData!$BB$20),"")</f>
        <v>4.915</v>
      </c>
      <c r="BC20">
        <f ca="1">IFERROR(IF(0=LEN(ReferenceData!$BC$20),"",ReferenceData!$BC$20),"")</f>
        <v>-71.537000000000006</v>
      </c>
      <c r="BD20">
        <f ca="1">IFERROR(IF(0=LEN(ReferenceData!$BD$20),"",ReferenceData!$BD$20),"")</f>
        <v>38.436999999999998</v>
      </c>
      <c r="BE20">
        <f ca="1">IFERROR(IF(0=LEN(ReferenceData!$BE$20),"",ReferenceData!$BE$20),"")</f>
        <v>51.564999999999998</v>
      </c>
      <c r="BF20">
        <f ca="1">IFERROR(IF(0=LEN(ReferenceData!$BF$20),"",ReferenceData!$BF$20),"")</f>
        <v>19.378499999999999</v>
      </c>
      <c r="BG20">
        <f ca="1">IFERROR(IF(0=LEN(ReferenceData!$BG$20),"",ReferenceData!$BG$20),"")</f>
        <v>33.656999999999996</v>
      </c>
      <c r="BH20">
        <f ca="1">IFERROR(IF(0=LEN(ReferenceData!$BH$20),"",ReferenceData!$BH$20),"")</f>
        <v>-11.18</v>
      </c>
      <c r="BI20">
        <f ca="1">IFERROR(IF(0=LEN(ReferenceData!$BI$20),"",ReferenceData!$BI$20),"")</f>
        <v>19.422999999999998</v>
      </c>
      <c r="BJ20">
        <f ca="1">IFERROR(IF(0=LEN(ReferenceData!$BJ$20),"",ReferenceData!$BJ$20),"")</f>
        <v>34.231499999999997</v>
      </c>
      <c r="BK20">
        <f ca="1">IFERROR(IF(0=LEN(ReferenceData!$BK$20),"",ReferenceData!$BK$20),"")</f>
        <v>39.444000000000003</v>
      </c>
      <c r="BL20">
        <f ca="1">IFERROR(IF(0=LEN(ReferenceData!$BL$20),"",ReferenceData!$BL$20),"")</f>
        <v>61.097000000000001</v>
      </c>
      <c r="BM20">
        <f ca="1">IFERROR(IF(0=LEN(ReferenceData!$BM$20),"",ReferenceData!$BM$20),"")</f>
        <v>64.158000000000001</v>
      </c>
    </row>
    <row r="21" spans="1:65">
      <c r="A21" t="str">
        <f>IFERROR(IF(0=LEN(ReferenceData!$A$21),"",ReferenceData!$A$21),"")</f>
        <v xml:space="preserve">    预制房房地产投资信托净营业利润</v>
      </c>
      <c r="B21" t="str">
        <f>IFERROR(IF(0=LEN(ReferenceData!$B$21),"",ReferenceData!$B$21),"")</f>
        <v>RECFNOMH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动态</v>
      </c>
      <c r="F21">
        <f ca="1">IFERROR(IF(0=LEN(ReferenceData!$F$21),"",ReferenceData!$F$21),"")</f>
        <v>258.4562401</v>
      </c>
      <c r="G21">
        <f ca="1">IFERROR(IF(0=LEN(ReferenceData!$G$21),"",ReferenceData!$G$21),"")</f>
        <v>267.2</v>
      </c>
      <c r="H21">
        <f ca="1">IFERROR(IF(0=LEN(ReferenceData!$H$21),"",ReferenceData!$H$21),"")</f>
        <v>248.06899999999999</v>
      </c>
      <c r="I21">
        <f ca="1">IFERROR(IF(0=LEN(ReferenceData!$I$21),"",ReferenceData!$I$21),"")</f>
        <v>272.077</v>
      </c>
      <c r="J21">
        <f ca="1">IFERROR(IF(0=LEN(ReferenceData!$J$21),"",ReferenceData!$J$21),"")</f>
        <v>239.17</v>
      </c>
      <c r="K21">
        <f ca="1">IFERROR(IF(0=LEN(ReferenceData!$K$21),"",ReferenceData!$K$21),"")</f>
        <v>248.583</v>
      </c>
      <c r="L21">
        <f ca="1">IFERROR(IF(0=LEN(ReferenceData!$L$21),"",ReferenceData!$L$21),"")</f>
        <v>218.28200000000001</v>
      </c>
      <c r="M21">
        <f ca="1">IFERROR(IF(0=LEN(ReferenceData!$M$21),"",ReferenceData!$M$21),"")</f>
        <v>227.29599999999999</v>
      </c>
      <c r="N21">
        <f ca="1">IFERROR(IF(0=LEN(ReferenceData!$N$21),"",ReferenceData!$N$21),"")</f>
        <v>202.667</v>
      </c>
      <c r="O21">
        <f ca="1">IFERROR(IF(0=LEN(ReferenceData!$O$21),"",ReferenceData!$O$21),"")</f>
        <v>210.02</v>
      </c>
      <c r="P21">
        <f ca="1">IFERROR(IF(0=LEN(ReferenceData!$P$21),"",ReferenceData!$P$21),"")</f>
        <v>197.48099999999999</v>
      </c>
      <c r="Q21">
        <f ca="1">IFERROR(IF(0=LEN(ReferenceData!$Q$21),"",ReferenceData!$Q$21),"")</f>
        <v>208.48500000000001</v>
      </c>
      <c r="R21">
        <f ca="1">IFERROR(IF(0=LEN(ReferenceData!$R$21),"",ReferenceData!$R$21),"")</f>
        <v>169.608</v>
      </c>
      <c r="S21">
        <f ca="1">IFERROR(IF(0=LEN(ReferenceData!$S$21),"",ReferenceData!$S$21),"")</f>
        <v>169.17599999999999</v>
      </c>
      <c r="T21">
        <f ca="1">IFERROR(IF(0=LEN(ReferenceData!$T$21),"",ReferenceData!$T$21),"")</f>
        <v>160.29</v>
      </c>
      <c r="U21">
        <f ca="1">IFERROR(IF(0=LEN(ReferenceData!$U$21),"",ReferenceData!$U$21),"")</f>
        <v>171.58</v>
      </c>
      <c r="V21">
        <f ca="1">IFERROR(IF(0=LEN(ReferenceData!$V$21),"",ReferenceData!$V$21),"")</f>
        <v>152.06800000000001</v>
      </c>
      <c r="W21">
        <f ca="1">IFERROR(IF(0=LEN(ReferenceData!$W$21),"",ReferenceData!$W$21),"")</f>
        <v>152.99</v>
      </c>
      <c r="X21">
        <f ca="1">IFERROR(IF(0=LEN(ReferenceData!$X$21),"",ReferenceData!$X$21),"")</f>
        <v>145.881</v>
      </c>
      <c r="Y21">
        <f ca="1">IFERROR(IF(0=LEN(ReferenceData!$Y$21),"",ReferenceData!$Y$21),"")</f>
        <v>163.36799999999999</v>
      </c>
      <c r="Z21">
        <f ca="1">IFERROR(IF(0=LEN(ReferenceData!$Z$21),"",ReferenceData!$Z$21),"")</f>
        <v>141.18899999999999</v>
      </c>
      <c r="AA21">
        <f ca="1">IFERROR(IF(0=LEN(ReferenceData!$AA$21),"",ReferenceData!$AA$21),"")</f>
        <v>136.76900000000001</v>
      </c>
      <c r="AB21">
        <f ca="1">IFERROR(IF(0=LEN(ReferenceData!$AB$21),"",ReferenceData!$AB$21),"")</f>
        <v>132.44300000000001</v>
      </c>
      <c r="AC21">
        <f ca="1">IFERROR(IF(0=LEN(ReferenceData!$AC$21),"",ReferenceData!$AC$21),"")</f>
        <v>146.30199999999999</v>
      </c>
      <c r="AD21">
        <f ca="1">IFERROR(IF(0=LEN(ReferenceData!$AD$21),"",ReferenceData!$AD$21),"")</f>
        <v>127.28100000000001</v>
      </c>
      <c r="AE21">
        <f ca="1">IFERROR(IF(0=LEN(ReferenceData!$AE$21),"",ReferenceData!$AE$21),"")</f>
        <v>120.101</v>
      </c>
      <c r="AF21">
        <f ca="1">IFERROR(IF(0=LEN(ReferenceData!$AF$21),"",ReferenceData!$AF$21),"")</f>
        <v>98.358000000000004</v>
      </c>
      <c r="AG21">
        <f ca="1">IFERROR(IF(0=LEN(ReferenceData!$AG$21),"",ReferenceData!$AG$21),"")</f>
        <v>111.669</v>
      </c>
      <c r="AH21">
        <f ca="1">IFERROR(IF(0=LEN(ReferenceData!$AH$21),"",ReferenceData!$AH$21),"")</f>
        <v>98.605999999999995</v>
      </c>
      <c r="AI21">
        <f ca="1">IFERROR(IF(0=LEN(ReferenceData!$AI$21),"",ReferenceData!$AI$21),"")</f>
        <v>97.433000000000007</v>
      </c>
      <c r="AJ21">
        <f ca="1">IFERROR(IF(0=LEN(ReferenceData!$AJ$21),"",ReferenceData!$AJ$21),"")</f>
        <v>93.376000000000005</v>
      </c>
      <c r="AK21">
        <f ca="1">IFERROR(IF(0=LEN(ReferenceData!$AK$21),"",ReferenceData!$AK$21),"")</f>
        <v>106.773</v>
      </c>
      <c r="AL21">
        <f ca="1">IFERROR(IF(0=LEN(ReferenceData!$AL$21),"",ReferenceData!$AL$21),"")</f>
        <v>95.248999999999995</v>
      </c>
      <c r="AM21">
        <f ca="1">IFERROR(IF(0=LEN(ReferenceData!$AM$21),"",ReferenceData!$AM$21),"")</f>
        <v>94.323999999999998</v>
      </c>
      <c r="AN21">
        <f ca="1">IFERROR(IF(0=LEN(ReferenceData!$AN$21),"",ReferenceData!$AN$21),"")</f>
        <v>90.88</v>
      </c>
      <c r="AO21">
        <f ca="1">IFERROR(IF(0=LEN(ReferenceData!$AO$21),"",ReferenceData!$AO$21),"")</f>
        <v>102.992</v>
      </c>
      <c r="AP21">
        <f ca="1">IFERROR(IF(0=LEN(ReferenceData!$AP$21),"",ReferenceData!$AP$21),"")</f>
        <v>89.168999999999997</v>
      </c>
      <c r="AQ21">
        <f ca="1">IFERROR(IF(0=LEN(ReferenceData!$AQ$21),"",ReferenceData!$AQ$21),"")</f>
        <v>93.203000000000003</v>
      </c>
      <c r="AR21">
        <f ca="1">IFERROR(IF(0=LEN(ReferenceData!$AR$21),"",ReferenceData!$AR$21),"")</f>
        <v>88.858000000000004</v>
      </c>
      <c r="AS21">
        <f ca="1">IFERROR(IF(0=LEN(ReferenceData!$AS$21),"",ReferenceData!$AS$21),"")</f>
        <v>105.59699999999999</v>
      </c>
      <c r="AT21">
        <f ca="1">IFERROR(IF(0=LEN(ReferenceData!$AT$21),"",ReferenceData!$AT$21),"")</f>
        <v>97.617999999999995</v>
      </c>
      <c r="AU21">
        <f ca="1">IFERROR(IF(0=LEN(ReferenceData!$AU$21),"",ReferenceData!$AU$21),"")</f>
        <v>89.858999999999995</v>
      </c>
      <c r="AV21">
        <f ca="1">IFERROR(IF(0=LEN(ReferenceData!$AV$21),"",ReferenceData!$AV$21),"")</f>
        <v>89.349000000000004</v>
      </c>
      <c r="AW21">
        <f ca="1">IFERROR(IF(0=LEN(ReferenceData!$AW$21),"",ReferenceData!$AW$21),"")</f>
        <v>103.09</v>
      </c>
      <c r="AX21">
        <f ca="1">IFERROR(IF(0=LEN(ReferenceData!$AX$21),"",ReferenceData!$AX$21),"")</f>
        <v>89.036000000000001</v>
      </c>
      <c r="AY21">
        <f ca="1">IFERROR(IF(0=LEN(ReferenceData!$AY$21),"",ReferenceData!$AY$21),"")</f>
        <v>87.545000000000002</v>
      </c>
      <c r="AZ21">
        <f ca="1">IFERROR(IF(0=LEN(ReferenceData!$AZ$21),"",ReferenceData!$AZ$21),"")</f>
        <v>86.97</v>
      </c>
      <c r="BA21">
        <f ca="1">IFERROR(IF(0=LEN(ReferenceData!$BA$21),"",ReferenceData!$BA$21),"")</f>
        <v>97.700999999999993</v>
      </c>
      <c r="BB21">
        <f ca="1">IFERROR(IF(0=LEN(ReferenceData!$BB$21),"",ReferenceData!$BB$21),"")</f>
        <v>109.89100000000001</v>
      </c>
      <c r="BC21">
        <f ca="1">IFERROR(IF(0=LEN(ReferenceData!$BC$21),"",ReferenceData!$BC$21),"")</f>
        <v>99.319000000000003</v>
      </c>
      <c r="BD21">
        <f ca="1">IFERROR(IF(0=LEN(ReferenceData!$BD$21),"",ReferenceData!$BD$21),"")</f>
        <v>106.675</v>
      </c>
      <c r="BE21">
        <f ca="1">IFERROR(IF(0=LEN(ReferenceData!$BE$21),"",ReferenceData!$BE$21),"")</f>
        <v>117.386</v>
      </c>
      <c r="BF21">
        <f ca="1">IFERROR(IF(0=LEN(ReferenceData!$BF$21),"",ReferenceData!$BF$21),"")</f>
        <v>97.727000000000004</v>
      </c>
      <c r="BG21">
        <f ca="1">IFERROR(IF(0=LEN(ReferenceData!$BG$21),"",ReferenceData!$BG$21),"")</f>
        <v>103.718</v>
      </c>
      <c r="BH21">
        <f ca="1">IFERROR(IF(0=LEN(ReferenceData!$BH$21),"",ReferenceData!$BH$21),"")</f>
        <v>105.59099999999999</v>
      </c>
      <c r="BI21">
        <f ca="1">IFERROR(IF(0=LEN(ReferenceData!$BI$21),"",ReferenceData!$BI$21),"")</f>
        <v>104.503</v>
      </c>
      <c r="BJ21">
        <f ca="1">IFERROR(IF(0=LEN(ReferenceData!$BJ$21),"",ReferenceData!$BJ$21),"")</f>
        <v>69.885000000000005</v>
      </c>
      <c r="BK21">
        <f ca="1">IFERROR(IF(0=LEN(ReferenceData!$BK$21),"",ReferenceData!$BK$21),"")</f>
        <v>66.177999999999997</v>
      </c>
      <c r="BL21">
        <f ca="1">IFERROR(IF(0=LEN(ReferenceData!$BL$21),"",ReferenceData!$BL$21),"")</f>
        <v>113.18600000000001</v>
      </c>
      <c r="BM21">
        <f ca="1">IFERROR(IF(0=LEN(ReferenceData!$BM$21),"",ReferenceData!$BM$21),"")</f>
        <v>112.24299999999999</v>
      </c>
    </row>
    <row r="22" spans="1:65">
      <c r="A22" t="str">
        <f>IFERROR(IF(0=LEN(ReferenceData!$A$22),"",ReferenceData!$A$22),"")</f>
        <v xml:space="preserve">    预制房房地产投资信托同店净营业利润增长</v>
      </c>
      <c r="B22" t="str">
        <f>IFERROR(IF(0=LEN(ReferenceData!$B$22),"",ReferenceData!$B$22),"")</f>
        <v>RECFSSMH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动态</v>
      </c>
      <c r="F22">
        <f ca="1">IFERROR(IF(0=LEN(ReferenceData!$F$22),"",ReferenceData!$F$22),"")</f>
        <v>5.6712443669999999</v>
      </c>
      <c r="G22">
        <f ca="1">IFERROR(IF(0=LEN(ReferenceData!$G$22),"",ReferenceData!$G$22),"")</f>
        <v>7.1250470559999997</v>
      </c>
      <c r="H22">
        <f ca="1">IFERROR(IF(0=LEN(ReferenceData!$H$22),"",ReferenceData!$H$22),"")</f>
        <v>5.6727111399999997</v>
      </c>
      <c r="I22">
        <f ca="1">IFERROR(IF(0=LEN(ReferenceData!$I$22),"",ReferenceData!$I$22),"")</f>
        <v>5.3860161519999998</v>
      </c>
      <c r="J22">
        <f ca="1">IFERROR(IF(0=LEN(ReferenceData!$J$22),"",ReferenceData!$J$22),"")</f>
        <v>7.4271456479999998</v>
      </c>
      <c r="K22">
        <f ca="1">IFERROR(IF(0=LEN(ReferenceData!$K$22),"",ReferenceData!$K$22),"")</f>
        <v>6.3996180799999998</v>
      </c>
      <c r="L22">
        <f ca="1">IFERROR(IF(0=LEN(ReferenceData!$L$22),"",ReferenceData!$L$22),"")</f>
        <v>7.1072306110000003</v>
      </c>
      <c r="M22">
        <f ca="1">IFERROR(IF(0=LEN(ReferenceData!$M$22),"",ReferenceData!$M$22),"")</f>
        <v>6.5889405119999997</v>
      </c>
      <c r="N22">
        <f ca="1">IFERROR(IF(0=LEN(ReferenceData!$N$22),"",ReferenceData!$N$22),"")</f>
        <v>7.2013666560000003</v>
      </c>
      <c r="O22">
        <f ca="1">IFERROR(IF(0=LEN(ReferenceData!$O$22),"",ReferenceData!$O$22),"")</f>
        <v>6.9706906660000003</v>
      </c>
      <c r="P22">
        <f ca="1">IFERROR(IF(0=LEN(ReferenceData!$P$22),"",ReferenceData!$P$22),"")</f>
        <v>6.7661440419999996</v>
      </c>
      <c r="Q22">
        <f ca="1">IFERROR(IF(0=LEN(ReferenceData!$Q$22),"",ReferenceData!$Q$22),"")</f>
        <v>7.3580854090000001</v>
      </c>
      <c r="R22">
        <f ca="1">IFERROR(IF(0=LEN(ReferenceData!$R$22),"",ReferenceData!$R$22),"")</f>
        <v>5.2041535630000002</v>
      </c>
      <c r="S22">
        <f ca="1">IFERROR(IF(0=LEN(ReferenceData!$S$22),"",ReferenceData!$S$22),"")</f>
        <v>6.362169164</v>
      </c>
      <c r="T22">
        <f ca="1">IFERROR(IF(0=LEN(ReferenceData!$T$22),"",ReferenceData!$T$22),"")</f>
        <v>5.5034787610000002</v>
      </c>
      <c r="U22">
        <f ca="1">IFERROR(IF(0=LEN(ReferenceData!$U$22),"",ReferenceData!$U$22),"")</f>
        <v>5.0217492369999999</v>
      </c>
      <c r="V22">
        <f ca="1">IFERROR(IF(0=LEN(ReferenceData!$V$22),"",ReferenceData!$V$22),"")</f>
        <v>4.7999058550000004</v>
      </c>
      <c r="W22">
        <f ca="1">IFERROR(IF(0=LEN(ReferenceData!$W$22),"",ReferenceData!$W$22),"")</f>
        <v>3.8399371260000001</v>
      </c>
      <c r="X22">
        <f ca="1">IFERROR(IF(0=LEN(ReferenceData!$X$22),"",ReferenceData!$X$22),"")</f>
        <v>3.6416021519999999</v>
      </c>
      <c r="Y22">
        <f ca="1">IFERROR(IF(0=LEN(ReferenceData!$Y$22),"",ReferenceData!$Y$22),"")</f>
        <v>3.7173049539999998</v>
      </c>
      <c r="Z22">
        <f ca="1">IFERROR(IF(0=LEN(ReferenceData!$Z$22),"",ReferenceData!$Z$22),"")</f>
        <v>2.519552332</v>
      </c>
      <c r="AA22">
        <f ca="1">IFERROR(IF(0=LEN(ReferenceData!$AA$22),"",ReferenceData!$AA$22),"")</f>
        <v>3.1665556929999998</v>
      </c>
      <c r="AB22">
        <f ca="1">IFERROR(IF(0=LEN(ReferenceData!$AB$22),"",ReferenceData!$AB$22),"")</f>
        <v>4.6549543499999997</v>
      </c>
      <c r="AC22">
        <f ca="1">IFERROR(IF(0=LEN(ReferenceData!$AC$22),"",ReferenceData!$AC$22),"")</f>
        <v>3.157062544</v>
      </c>
      <c r="AD22">
        <f ca="1">IFERROR(IF(0=LEN(ReferenceData!$AD$22),"",ReferenceData!$AD$22),"")</f>
        <v>2.2642198480000002</v>
      </c>
      <c r="AE22">
        <f ca="1">IFERROR(IF(0=LEN(ReferenceData!$AE$22),"",ReferenceData!$AE$22),"")</f>
        <v>4.3254321100000004</v>
      </c>
      <c r="AF22">
        <f ca="1">IFERROR(IF(0=LEN(ReferenceData!$AF$22),"",ReferenceData!$AF$22),"")</f>
        <v>3.312751918</v>
      </c>
      <c r="AG22">
        <f ca="1">IFERROR(IF(0=LEN(ReferenceData!$AG$22),"",ReferenceData!$AG$22),"")</f>
        <v>2.3750488089999999</v>
      </c>
      <c r="AH22">
        <f ca="1">IFERROR(IF(0=LEN(ReferenceData!$AH$22),"",ReferenceData!$AH$22),"")</f>
        <v>3.3194050329999998</v>
      </c>
      <c r="AI22">
        <f ca="1">IFERROR(IF(0=LEN(ReferenceData!$AI$22),"",ReferenceData!$AI$22),"")</f>
        <v>3.701906256</v>
      </c>
      <c r="AJ22">
        <f ca="1">IFERROR(IF(0=LEN(ReferenceData!$AJ$22),"",ReferenceData!$AJ$22),"")</f>
        <v>2.1966216369999998</v>
      </c>
      <c r="AK22">
        <f ca="1">IFERROR(IF(0=LEN(ReferenceData!$AK$22),"",ReferenceData!$AK$22),"")</f>
        <v>0.82698392399999998</v>
      </c>
      <c r="AL22">
        <f ca="1">IFERROR(IF(0=LEN(ReferenceData!$AL$22),"",ReferenceData!$AL$22),"")</f>
        <v>2.319247098</v>
      </c>
      <c r="AM22">
        <f ca="1">IFERROR(IF(0=LEN(ReferenceData!$AM$22),"",ReferenceData!$AM$22),"")</f>
        <v>4.0603191650000001</v>
      </c>
      <c r="AN22">
        <f ca="1">IFERROR(IF(0=LEN(ReferenceData!$AN$22),"",ReferenceData!$AN$22),"")</f>
        <v>5.6038622919999996</v>
      </c>
      <c r="AO22">
        <f ca="1">IFERROR(IF(0=LEN(ReferenceData!$AO$22),"",ReferenceData!$AO$22),"")</f>
        <v>2.9638721380000002</v>
      </c>
      <c r="AP22">
        <f ca="1">IFERROR(IF(0=LEN(ReferenceData!$AP$22),"",ReferenceData!$AP$22),"")</f>
        <v>3.2571984660000002</v>
      </c>
      <c r="AQ22">
        <f ca="1">IFERROR(IF(0=LEN(ReferenceData!$AQ$22),"",ReferenceData!$AQ$22),"")</f>
        <v>3.3145570499999999</v>
      </c>
      <c r="AR22">
        <f ca="1">IFERROR(IF(0=LEN(ReferenceData!$AR$22),"",ReferenceData!$AR$22),"")</f>
        <v>2.2789695509999999</v>
      </c>
      <c r="AS22">
        <f ca="1">IFERROR(IF(0=LEN(ReferenceData!$AS$22),"",ReferenceData!$AS$22),"")</f>
        <v>3.346392426</v>
      </c>
      <c r="AT22">
        <f ca="1">IFERROR(IF(0=LEN(ReferenceData!$AT$22),"",ReferenceData!$AT$22),"")</f>
        <v>3.840411783</v>
      </c>
      <c r="AU22">
        <f ca="1">IFERROR(IF(0=LEN(ReferenceData!$AU$22),"",ReferenceData!$AU$22),"")</f>
        <v>4.2232708309999998</v>
      </c>
      <c r="AV22">
        <f ca="1">IFERROR(IF(0=LEN(ReferenceData!$AV$22),"",ReferenceData!$AV$22),"")</f>
        <v>6.1322139</v>
      </c>
      <c r="AW22">
        <f ca="1">IFERROR(IF(0=LEN(ReferenceData!$AW$22),"",ReferenceData!$AW$22),"")</f>
        <v>5.336620141</v>
      </c>
      <c r="AX22">
        <f ca="1">IFERROR(IF(0=LEN(ReferenceData!$AX$22),"",ReferenceData!$AX$22),"")</f>
        <v>5.0807483700000002</v>
      </c>
      <c r="AY22">
        <f ca="1">IFERROR(IF(0=LEN(ReferenceData!$AY$22),"",ReferenceData!$AY$22),"")</f>
        <v>4.8191798520000004</v>
      </c>
      <c r="AZ22">
        <f ca="1">IFERROR(IF(0=LEN(ReferenceData!$AZ$22),"",ReferenceData!$AZ$22),"")</f>
        <v>3.5078806999999999</v>
      </c>
      <c r="BA22">
        <f ca="1">IFERROR(IF(0=LEN(ReferenceData!$BA$22),"",ReferenceData!$BA$22),"")</f>
        <v>4.4166881279999997</v>
      </c>
      <c r="BB22">
        <f ca="1">IFERROR(IF(0=LEN(ReferenceData!$BB$22),"",ReferenceData!$BB$22),"")</f>
        <v>8.7523749209999995</v>
      </c>
      <c r="BC22">
        <f ca="1">IFERROR(IF(0=LEN(ReferenceData!$BC$22),"",ReferenceData!$BC$22),"")</f>
        <v>5.545291185</v>
      </c>
      <c r="BD22">
        <f ca="1">IFERROR(IF(0=LEN(ReferenceData!$BD$22),"",ReferenceData!$BD$22),"")</f>
        <v>1.069697669</v>
      </c>
      <c r="BE22">
        <f ca="1">IFERROR(IF(0=LEN(ReferenceData!$BE$22),"",ReferenceData!$BE$22),"")</f>
        <v>0.30311320200000003</v>
      </c>
      <c r="BF22">
        <f ca="1">IFERROR(IF(0=LEN(ReferenceData!$BF$22),"",ReferenceData!$BF$22),"")</f>
        <v>1.555398324</v>
      </c>
      <c r="BG22">
        <f ca="1">IFERROR(IF(0=LEN(ReferenceData!$BG$22),"",ReferenceData!$BG$22),"")</f>
        <v>-0.46809944399999998</v>
      </c>
      <c r="BH22">
        <f ca="1">IFERROR(IF(0=LEN(ReferenceData!$BH$22),"",ReferenceData!$BH$22),"")</f>
        <v>1.5983910240000001</v>
      </c>
      <c r="BI22">
        <f ca="1">IFERROR(IF(0=LEN(ReferenceData!$BI$22),"",ReferenceData!$BI$22),"")</f>
        <v>3.9471698989999999</v>
      </c>
      <c r="BJ22">
        <f ca="1">IFERROR(IF(0=LEN(ReferenceData!$BJ$22),"",ReferenceData!$BJ$22),"")</f>
        <v>1.797246806</v>
      </c>
      <c r="BK22">
        <f ca="1">IFERROR(IF(0=LEN(ReferenceData!$BK$22),"",ReferenceData!$BK$22),"")</f>
        <v>2.1223154989999999</v>
      </c>
      <c r="BL22">
        <f ca="1">IFERROR(IF(0=LEN(ReferenceData!$BL$22),"",ReferenceData!$BL$22),"")</f>
        <v>1.7892937149999999</v>
      </c>
      <c r="BM22">
        <f ca="1">IFERROR(IF(0=LEN(ReferenceData!$BM$22),"",ReferenceData!$BM$22),"")</f>
        <v>2.152647639</v>
      </c>
    </row>
    <row r="23" spans="1:65">
      <c r="A23" t="str">
        <f>IFERROR(IF(0=LEN(ReferenceData!$A$23),"",ReferenceData!$A$23),"")</f>
        <v xml:space="preserve">    预制房房地产投资信托总股利支付</v>
      </c>
      <c r="B23" t="str">
        <f>IFERROR(IF(0=LEN(ReferenceData!$B$23),"",ReferenceData!$B$23),"")</f>
        <v>RECFTDMH Index</v>
      </c>
      <c r="C23" t="str">
        <f>IFERROR(IF(0=LEN(ReferenceData!$C$23),"",ReferenceData!$C$23),"")</f>
        <v>PR005</v>
      </c>
      <c r="D23" t="str">
        <f>IFERROR(IF(0=LEN(ReferenceData!$D$23),"",ReferenceData!$D$23),"")</f>
        <v>PX_LAST</v>
      </c>
      <c r="E23" t="str">
        <f>IFERROR(IF(0=LEN(ReferenceData!$E$23),"",ReferenceData!$E$23),"")</f>
        <v>动态</v>
      </c>
      <c r="F23">
        <f ca="1">IFERROR(IF(0=LEN(ReferenceData!$F$23),"",ReferenceData!$F$23),"")</f>
        <v>118.38376820000001</v>
      </c>
      <c r="G23">
        <f ca="1">IFERROR(IF(0=LEN(ReferenceData!$G$23),"",ReferenceData!$G$23),"")</f>
        <v>116.349</v>
      </c>
      <c r="H23">
        <f ca="1">IFERROR(IF(0=LEN(ReferenceData!$H$23),"",ReferenceData!$H$23),"")</f>
        <v>111.682</v>
      </c>
      <c r="I23">
        <f ca="1">IFERROR(IF(0=LEN(ReferenceData!$I$23),"",ReferenceData!$I$23),"")</f>
        <v>104.36199999999999</v>
      </c>
      <c r="J23">
        <f ca="1">IFERROR(IF(0=LEN(ReferenceData!$J$23),"",ReferenceData!$J$23),"")</f>
        <v>103.346</v>
      </c>
      <c r="K23">
        <f ca="1">IFERROR(IF(0=LEN(ReferenceData!$K$23),"",ReferenceData!$K$23),"")</f>
        <v>101.015</v>
      </c>
      <c r="L23">
        <f ca="1">IFERROR(IF(0=LEN(ReferenceData!$L$23),"",ReferenceData!$L$23),"")</f>
        <v>96.935000000000002</v>
      </c>
      <c r="M23">
        <f ca="1">IFERROR(IF(0=LEN(ReferenceData!$M$23),"",ReferenceData!$M$23),"")</f>
        <v>88.195999999999998</v>
      </c>
      <c r="N23">
        <f ca="1">IFERROR(IF(0=LEN(ReferenceData!$N$23),"",ReferenceData!$N$23),"")</f>
        <v>84.406000000000006</v>
      </c>
      <c r="O23">
        <f ca="1">IFERROR(IF(0=LEN(ReferenceData!$O$23),"",ReferenceData!$O$23),"")</f>
        <v>84.594999999999999</v>
      </c>
      <c r="P23">
        <f ca="1">IFERROR(IF(0=LEN(ReferenceData!$P$23),"",ReferenceData!$P$23),"")</f>
        <v>85.156999999999996</v>
      </c>
      <c r="Q23">
        <f ca="1">IFERROR(IF(0=LEN(ReferenceData!$Q$23),"",ReferenceData!$Q$23),"")</f>
        <v>76.41</v>
      </c>
      <c r="R23">
        <f ca="1">IFERROR(IF(0=LEN(ReferenceData!$R$23),"",ReferenceData!$R$23),"")</f>
        <v>73.113</v>
      </c>
      <c r="S23">
        <f ca="1">IFERROR(IF(0=LEN(ReferenceData!$S$23),"",ReferenceData!$S$23),"")</f>
        <v>68.197999999999993</v>
      </c>
      <c r="T23">
        <f ca="1">IFERROR(IF(0=LEN(ReferenceData!$T$23),"",ReferenceData!$T$23),"")</f>
        <v>67.542000000000002</v>
      </c>
      <c r="U23">
        <f ca="1">IFERROR(IF(0=LEN(ReferenceData!$U$23),"",ReferenceData!$U$23),"")</f>
        <v>57.109000000000002</v>
      </c>
      <c r="V23">
        <f ca="1">IFERROR(IF(0=LEN(ReferenceData!$V$23),"",ReferenceData!$V$23),"")</f>
        <v>56.847000000000001</v>
      </c>
      <c r="W23">
        <f ca="1">IFERROR(IF(0=LEN(ReferenceData!$W$23),"",ReferenceData!$W$23),"")</f>
        <v>59.018000000000001</v>
      </c>
      <c r="X23">
        <f ca="1">IFERROR(IF(0=LEN(ReferenceData!$X$23),"",ReferenceData!$X$23),"")</f>
        <v>54.064</v>
      </c>
      <c r="Y23">
        <f ca="1">IFERROR(IF(0=LEN(ReferenceData!$Y$23),"",ReferenceData!$Y$23),"")</f>
        <v>29.068000000000001</v>
      </c>
      <c r="Z23">
        <f ca="1">IFERROR(IF(0=LEN(ReferenceData!$Z$23),"",ReferenceData!$Z$23),"")</f>
        <v>68.492999999999995</v>
      </c>
      <c r="AA23">
        <f ca="1">IFERROR(IF(0=LEN(ReferenceData!$AA$23),"",ReferenceData!$AA$23),"")</f>
        <v>46.146000000000001</v>
      </c>
      <c r="AB23">
        <f ca="1">IFERROR(IF(0=LEN(ReferenceData!$AB$23),"",ReferenceData!$AB$23),"")</f>
        <v>46.277999999999999</v>
      </c>
      <c r="AC23">
        <f ca="1">IFERROR(IF(0=LEN(ReferenceData!$AC$23),"",ReferenceData!$AC$23),"")</f>
        <v>40.051000000000002</v>
      </c>
      <c r="AD23">
        <f ca="1">IFERROR(IF(0=LEN(ReferenceData!$AD$23),"",ReferenceData!$AD$23),"")</f>
        <v>39.738</v>
      </c>
      <c r="AE23">
        <f ca="1">IFERROR(IF(0=LEN(ReferenceData!$AE$23),"",ReferenceData!$AE$23),"")</f>
        <v>38.472000000000001</v>
      </c>
      <c r="AF23">
        <f ca="1">IFERROR(IF(0=LEN(ReferenceData!$AF$23),"",ReferenceData!$AF$23),"")</f>
        <v>34.524999999999999</v>
      </c>
      <c r="AG23">
        <f ca="1">IFERROR(IF(0=LEN(ReferenceData!$AG$23),"",ReferenceData!$AG$23),"")</f>
        <v>31.641999999999999</v>
      </c>
      <c r="AH23">
        <f ca="1">IFERROR(IF(0=LEN(ReferenceData!$AH$23),"",ReferenceData!$AH$23),"")</f>
        <v>30.824999999999999</v>
      </c>
      <c r="AI23">
        <f ca="1">IFERROR(IF(0=LEN(ReferenceData!$AI$23),"",ReferenceData!$AI$23),"")</f>
        <v>30.477</v>
      </c>
      <c r="AJ23">
        <f ca="1">IFERROR(IF(0=LEN(ReferenceData!$AJ$23),"",ReferenceData!$AJ$23),"")</f>
        <v>30.225999999999999</v>
      </c>
      <c r="AK23">
        <f ca="1">IFERROR(IF(0=LEN(ReferenceData!$AK$23),"",ReferenceData!$AK$23),"")</f>
        <v>30.068000000000001</v>
      </c>
      <c r="AL23">
        <f ca="1">IFERROR(IF(0=LEN(ReferenceData!$AL$23),"",ReferenceData!$AL$23),"")</f>
        <v>29.989000000000001</v>
      </c>
      <c r="AM23">
        <f ca="1">IFERROR(IF(0=LEN(ReferenceData!$AM$23),"",ReferenceData!$AM$23),"")</f>
        <v>26.873999999999999</v>
      </c>
      <c r="AN23">
        <f ca="1">IFERROR(IF(0=LEN(ReferenceData!$AN$23),"",ReferenceData!$AN$23),"")</f>
        <v>26.78</v>
      </c>
      <c r="AO23">
        <f ca="1">IFERROR(IF(0=LEN(ReferenceData!$AO$23),"",ReferenceData!$AO$23),"")</f>
        <v>25.148</v>
      </c>
      <c r="AP23">
        <f ca="1">IFERROR(IF(0=LEN(ReferenceData!$AP$23),"",ReferenceData!$AP$23),"")</f>
        <v>25.122</v>
      </c>
      <c r="AQ23">
        <f ca="1">IFERROR(IF(0=LEN(ReferenceData!$AQ$23),"",ReferenceData!$AQ$23),"")</f>
        <v>27.817</v>
      </c>
      <c r="AR23">
        <f ca="1">IFERROR(IF(0=LEN(ReferenceData!$AR$23),"",ReferenceData!$AR$23),"")</f>
        <v>27.812999999999999</v>
      </c>
      <c r="AS23">
        <f ca="1">IFERROR(IF(0=LEN(ReferenceData!$AS$23),"",ReferenceData!$AS$23),"")</f>
        <v>26.943999999999999</v>
      </c>
      <c r="AT23">
        <f ca="1">IFERROR(IF(0=LEN(ReferenceData!$AT$23),"",ReferenceData!$AT$23),"")</f>
        <v>25.375499999999999</v>
      </c>
      <c r="AU23">
        <f ca="1">IFERROR(IF(0=LEN(ReferenceData!$AU$23),"",ReferenceData!$AU$23),"")</f>
        <v>26.411999999999999</v>
      </c>
      <c r="AV23">
        <f ca="1">IFERROR(IF(0=LEN(ReferenceData!$AV$23),"",ReferenceData!$AV$23),"")</f>
        <v>25.178000000000001</v>
      </c>
      <c r="AW23">
        <f ca="1">IFERROR(IF(0=LEN(ReferenceData!$AW$23),"",ReferenceData!$AW$23),"")</f>
        <v>22.763999999999999</v>
      </c>
      <c r="AX23">
        <f ca="1">IFERROR(IF(0=LEN(ReferenceData!$AX$23),"",ReferenceData!$AX$23),"")</f>
        <v>23.318000000000001</v>
      </c>
      <c r="AY23">
        <f ca="1">IFERROR(IF(0=LEN(ReferenceData!$AY$23),"",ReferenceData!$AY$23),"")</f>
        <v>23.266999999999999</v>
      </c>
      <c r="AZ23">
        <f ca="1">IFERROR(IF(0=LEN(ReferenceData!$AZ$23),"",ReferenceData!$AZ$23),"")</f>
        <v>24.161999999999999</v>
      </c>
      <c r="BA23">
        <f ca="1">IFERROR(IF(0=LEN(ReferenceData!$BA$23),"",ReferenceData!$BA$23),"")</f>
        <v>22.631</v>
      </c>
      <c r="BB23">
        <f ca="1">IFERROR(IF(0=LEN(ReferenceData!$BB$23),"",ReferenceData!$BB$23),"")</f>
        <v>25.571000000000002</v>
      </c>
      <c r="BC23">
        <f ca="1">IFERROR(IF(0=LEN(ReferenceData!$BC$23),"",ReferenceData!$BC$23),"")</f>
        <v>49.636000000000003</v>
      </c>
      <c r="BD23">
        <f ca="1">IFERROR(IF(0=LEN(ReferenceData!$BD$23),"",ReferenceData!$BD$23),"")</f>
        <v>37.493000000000002</v>
      </c>
      <c r="BE23">
        <f ca="1">IFERROR(IF(0=LEN(ReferenceData!$BE$23),"",ReferenceData!$BE$23),"")</f>
        <v>36.929000000000002</v>
      </c>
      <c r="BF23">
        <f ca="1">IFERROR(IF(0=LEN(ReferenceData!$BF$23),"",ReferenceData!$BF$23),"")</f>
        <v>35.61</v>
      </c>
      <c r="BG23">
        <f ca="1">IFERROR(IF(0=LEN(ReferenceData!$BG$23),"",ReferenceData!$BG$23),"")</f>
        <v>36.67</v>
      </c>
      <c r="BH23">
        <f ca="1">IFERROR(IF(0=LEN(ReferenceData!$BH$23),"",ReferenceData!$BH$23),"")</f>
        <v>28.972000000000001</v>
      </c>
      <c r="BI23">
        <f ca="1">IFERROR(IF(0=LEN(ReferenceData!$BI$23),"",ReferenceData!$BI$23),"")</f>
        <v>244.41499999999999</v>
      </c>
      <c r="BJ23">
        <f ca="1">IFERROR(IF(0=LEN(ReferenceData!$BJ$23),"",ReferenceData!$BJ$23),"")</f>
        <v>138.30000000000001</v>
      </c>
      <c r="BK23">
        <f ca="1">IFERROR(IF(0=LEN(ReferenceData!$BK$23),"",ReferenceData!$BK$23),"")</f>
        <v>32.573999999999998</v>
      </c>
      <c r="BL23">
        <f ca="1">IFERROR(IF(0=LEN(ReferenceData!$BL$23),"",ReferenceData!$BL$23),"")</f>
        <v>52.064</v>
      </c>
      <c r="BM23">
        <f ca="1">IFERROR(IF(0=LEN(ReferenceData!$BM$23),"",ReferenceData!$BM$23),"")</f>
        <v>50.768999999999998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86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ReferenceData!$C$77</f>
        <v>2017 Q4</v>
      </c>
      <c r="G2" s="1" t="str">
        <f>ReferenceData!$D$77</f>
        <v>2017 Q3</v>
      </c>
      <c r="H2" s="1" t="str">
        <f>ReferenceData!$E$77</f>
        <v>2017 Q2</v>
      </c>
      <c r="I2" s="1" t="str">
        <f>ReferenceData!$F$77</f>
        <v>2017 Q1</v>
      </c>
      <c r="J2" s="1" t="str">
        <f>ReferenceData!$G$77</f>
        <v>2016 Q4</v>
      </c>
      <c r="K2" s="1" t="str">
        <f>ReferenceData!$H$77</f>
        <v>2016 Q3</v>
      </c>
      <c r="L2" s="1" t="str">
        <f>ReferenceData!$I$77</f>
        <v>2016 Q2</v>
      </c>
      <c r="M2" s="1" t="str">
        <f>ReferenceData!$J$77</f>
        <v>2016 Q1</v>
      </c>
      <c r="N2" s="1" t="str">
        <f>ReferenceData!$K$77</f>
        <v>2015 Q4</v>
      </c>
      <c r="O2" s="1" t="str">
        <f>ReferenceData!$L$77</f>
        <v>2015 Q3</v>
      </c>
      <c r="P2" s="1" t="str">
        <f>ReferenceData!$M$77</f>
        <v>2015 Q2</v>
      </c>
      <c r="Q2" s="1" t="str">
        <f>ReferenceData!$N$77</f>
        <v>2015 Q1</v>
      </c>
      <c r="R2" s="1" t="str">
        <f>ReferenceData!$O$77</f>
        <v>2014 Q4</v>
      </c>
      <c r="S2" s="1" t="str">
        <f>ReferenceData!$P$77</f>
        <v>2014 Q3</v>
      </c>
      <c r="T2" s="1" t="str">
        <f>ReferenceData!$Q$77</f>
        <v>2014 Q2</v>
      </c>
      <c r="U2" s="1" t="str">
        <f>ReferenceData!$R$77</f>
        <v>2014 Q1</v>
      </c>
      <c r="V2" s="1" t="str">
        <f>ReferenceData!$S$77</f>
        <v>2013 Q4</v>
      </c>
      <c r="W2" s="1" t="str">
        <f>ReferenceData!$T$77</f>
        <v>2013 Q3</v>
      </c>
      <c r="X2" s="1" t="str">
        <f>ReferenceData!$U$77</f>
        <v>2013 Q2</v>
      </c>
      <c r="Y2" s="1" t="str">
        <f>ReferenceData!$V$77</f>
        <v>2013 Q1</v>
      </c>
      <c r="Z2" s="1" t="str">
        <f>ReferenceData!$W$77</f>
        <v>2012 Q4</v>
      </c>
      <c r="AA2" s="1" t="str">
        <f>ReferenceData!$X$77</f>
        <v>2012 Q3</v>
      </c>
      <c r="AB2" s="1" t="str">
        <f>ReferenceData!$Y$77</f>
        <v>2012 Q2</v>
      </c>
      <c r="AC2" s="1" t="str">
        <f>ReferenceData!$Z$77</f>
        <v>2012 Q1</v>
      </c>
      <c r="AD2" s="1" t="str">
        <f>ReferenceData!$AA$77</f>
        <v>2011 Q4</v>
      </c>
      <c r="AE2" s="1" t="str">
        <f>ReferenceData!$AB$77</f>
        <v>2011 Q3</v>
      </c>
      <c r="AF2" s="1" t="str">
        <f>ReferenceData!$AC$77</f>
        <v>2011 Q2</v>
      </c>
      <c r="AG2" s="1" t="str">
        <f>ReferenceData!$AD$77</f>
        <v>2011 Q1</v>
      </c>
      <c r="AH2" s="1" t="str">
        <f>ReferenceData!$AE$77</f>
        <v>2010 Q4</v>
      </c>
      <c r="AI2" s="1" t="str">
        <f>ReferenceData!$AF$77</f>
        <v>2010 Q3</v>
      </c>
      <c r="AJ2" s="1" t="str">
        <f>ReferenceData!$AG$77</f>
        <v>2010 Q2</v>
      </c>
      <c r="AK2" s="1" t="str">
        <f>ReferenceData!$AH$77</f>
        <v>2010 Q1</v>
      </c>
      <c r="AL2" s="1" t="str">
        <f>ReferenceData!$AI$77</f>
        <v>2009 Q4</v>
      </c>
      <c r="AM2" s="1" t="str">
        <f>ReferenceData!$AJ$77</f>
        <v>2009 Q3</v>
      </c>
      <c r="AN2" s="1" t="str">
        <f>ReferenceData!$AK$77</f>
        <v>2009 Q2</v>
      </c>
      <c r="AO2" s="1" t="str">
        <f>ReferenceData!$AL$77</f>
        <v>2009 Q1</v>
      </c>
      <c r="AP2" s="1" t="str">
        <f>ReferenceData!$AM$77</f>
        <v>2008 Q4</v>
      </c>
      <c r="AQ2" s="1" t="str">
        <f>ReferenceData!$AN$77</f>
        <v>2008 Q3</v>
      </c>
      <c r="AR2" s="1" t="str">
        <f>ReferenceData!$AO$77</f>
        <v>2008 Q2</v>
      </c>
      <c r="AS2" s="1" t="str">
        <f>ReferenceData!$AP$77</f>
        <v>2008 Q1</v>
      </c>
      <c r="AT2" s="1" t="str">
        <f>ReferenceData!$AQ$77</f>
        <v>2007 Q4</v>
      </c>
      <c r="AU2" s="1" t="str">
        <f>ReferenceData!$AR$77</f>
        <v>2007 Q3</v>
      </c>
      <c r="AV2" s="1" t="str">
        <f>ReferenceData!$AS$77</f>
        <v>2007 Q2</v>
      </c>
      <c r="AW2" s="1" t="str">
        <f>ReferenceData!$AT$77</f>
        <v>2007 Q1</v>
      </c>
      <c r="AX2" s="1" t="str">
        <f>ReferenceData!$AU$77</f>
        <v>2006 Q4</v>
      </c>
      <c r="AY2" s="1" t="str">
        <f>ReferenceData!$AV$77</f>
        <v>2006 Q3</v>
      </c>
      <c r="AZ2" s="1" t="str">
        <f>ReferenceData!$AW$77</f>
        <v>2006 Q2</v>
      </c>
      <c r="BA2" s="1" t="str">
        <f>ReferenceData!$AX$77</f>
        <v>2006 Q1</v>
      </c>
      <c r="BB2" s="1" t="str">
        <f>ReferenceData!$AY$77</f>
        <v>2005 Q4</v>
      </c>
      <c r="BC2" s="1" t="str">
        <f>ReferenceData!$AZ$77</f>
        <v>2005 Q3</v>
      </c>
      <c r="BD2" s="1" t="str">
        <f>ReferenceData!$BA$77</f>
        <v>2005 Q2</v>
      </c>
      <c r="BE2" s="1" t="str">
        <f>ReferenceData!$BB$77</f>
        <v>2005 Q1</v>
      </c>
      <c r="BF2" s="1" t="str">
        <f>ReferenceData!$BC$77</f>
        <v>2004 Q4</v>
      </c>
      <c r="BG2" s="1" t="str">
        <f>ReferenceData!$BD$77</f>
        <v>2004 Q3</v>
      </c>
      <c r="BH2" s="1" t="str">
        <f>ReferenceData!$BE$77</f>
        <v>2004 Q2</v>
      </c>
      <c r="BI2" s="1" t="str">
        <f>ReferenceData!$BF$77</f>
        <v>2004 Q1</v>
      </c>
      <c r="BJ2" s="1" t="str">
        <f>ReferenceData!$BG$77</f>
        <v>2003 Q4</v>
      </c>
      <c r="BK2" s="1" t="str">
        <f>ReferenceData!$BH$77</f>
        <v>2003 Q3</v>
      </c>
      <c r="BL2" s="1" t="str">
        <f>ReferenceData!$BI$77</f>
        <v>2003 Q2</v>
      </c>
      <c r="BM2" s="1" t="str">
        <f>ReferenceData!$BJ$77</f>
        <v>2003 Q1</v>
      </c>
      <c r="BN2" t="str">
        <f>$C$77</f>
        <v>2017 Q4</v>
      </c>
      <c r="BO2" t="str">
        <f>$D$77</f>
        <v>2017 Q3</v>
      </c>
      <c r="BP2" t="str">
        <f>$E$77</f>
        <v>2017 Q2</v>
      </c>
      <c r="BQ2" t="str">
        <f>$F$77</f>
        <v>2017 Q1</v>
      </c>
      <c r="BR2" t="str">
        <f>$G$77</f>
        <v>2016 Q4</v>
      </c>
      <c r="BS2" t="str">
        <f>$H$77</f>
        <v>2016 Q3</v>
      </c>
      <c r="BT2" t="str">
        <f>$I$77</f>
        <v>2016 Q2</v>
      </c>
      <c r="BU2" t="str">
        <f>$J$77</f>
        <v>2016 Q1</v>
      </c>
      <c r="BV2" t="str">
        <f>$K$77</f>
        <v>2015 Q4</v>
      </c>
      <c r="BW2" t="str">
        <f>$L$77</f>
        <v>2015 Q3</v>
      </c>
      <c r="BX2" t="str">
        <f>$M$77</f>
        <v>2015 Q2</v>
      </c>
      <c r="BY2" t="str">
        <f>$N$77</f>
        <v>2015 Q1</v>
      </c>
      <c r="BZ2" t="str">
        <f>$O$77</f>
        <v>2014 Q4</v>
      </c>
      <c r="CA2" t="str">
        <f>$P$77</f>
        <v>2014 Q3</v>
      </c>
      <c r="CB2" t="str">
        <f>$Q$77</f>
        <v>2014 Q2</v>
      </c>
      <c r="CC2" t="str">
        <f>$R$77</f>
        <v>2014 Q1</v>
      </c>
      <c r="CD2" t="str">
        <f>$S$77</f>
        <v>2013 Q4</v>
      </c>
      <c r="CE2" t="str">
        <f>$T$77</f>
        <v>2013 Q3</v>
      </c>
      <c r="CF2" t="str">
        <f>$U$77</f>
        <v>2013 Q2</v>
      </c>
      <c r="CG2" t="str">
        <f>$V$77</f>
        <v>2013 Q1</v>
      </c>
      <c r="CH2" t="str">
        <f>$W$77</f>
        <v>2012 Q4</v>
      </c>
      <c r="CI2" t="str">
        <f>$X$77</f>
        <v>2012 Q3</v>
      </c>
      <c r="CJ2" t="str">
        <f>$Y$77</f>
        <v>2012 Q2</v>
      </c>
      <c r="CK2" t="str">
        <f>$Z$77</f>
        <v>2012 Q1</v>
      </c>
      <c r="CL2" t="str">
        <f>$AA$77</f>
        <v>2011 Q4</v>
      </c>
      <c r="CM2" t="str">
        <f>$AB$77</f>
        <v>2011 Q3</v>
      </c>
      <c r="CN2" t="str">
        <f>$AC$77</f>
        <v>2011 Q2</v>
      </c>
      <c r="CO2" t="str">
        <f>$AD$77</f>
        <v>2011 Q1</v>
      </c>
      <c r="CP2" t="str">
        <f>$AE$77</f>
        <v>2010 Q4</v>
      </c>
      <c r="CQ2" t="str">
        <f>$AF$77</f>
        <v>2010 Q3</v>
      </c>
      <c r="CR2" t="str">
        <f>$AG$77</f>
        <v>2010 Q2</v>
      </c>
      <c r="CS2" t="str">
        <f>$AH$77</f>
        <v>2010 Q1</v>
      </c>
      <c r="CT2" t="str">
        <f>$AI$77</f>
        <v>2009 Q4</v>
      </c>
      <c r="CU2" t="str">
        <f>$AJ$77</f>
        <v>2009 Q3</v>
      </c>
      <c r="CV2" t="str">
        <f>$AK$77</f>
        <v>2009 Q2</v>
      </c>
      <c r="CW2" t="str">
        <f>$AL$77</f>
        <v>2009 Q1</v>
      </c>
      <c r="CX2" t="str">
        <f>$AM$77</f>
        <v>2008 Q4</v>
      </c>
      <c r="CY2" t="str">
        <f>$AN$77</f>
        <v>2008 Q3</v>
      </c>
      <c r="CZ2" t="str">
        <f>$AO$77</f>
        <v>2008 Q2</v>
      </c>
      <c r="DA2" t="str">
        <f>$AP$77</f>
        <v>2008 Q1</v>
      </c>
      <c r="DB2" t="str">
        <f>$AQ$77</f>
        <v>2007 Q4</v>
      </c>
      <c r="DC2" t="str">
        <f>$AR$77</f>
        <v>2007 Q3</v>
      </c>
      <c r="DD2" t="str">
        <f>$AS$77</f>
        <v>2007 Q2</v>
      </c>
      <c r="DE2" t="str">
        <f>$AT$77</f>
        <v>2007 Q1</v>
      </c>
      <c r="DF2" t="str">
        <f>$AU$77</f>
        <v>2006 Q4</v>
      </c>
      <c r="DG2" t="str">
        <f>$AV$77</f>
        <v>2006 Q3</v>
      </c>
      <c r="DH2" t="str">
        <f>$AW$77</f>
        <v>2006 Q2</v>
      </c>
      <c r="DI2" t="str">
        <f>$AX$77</f>
        <v>2006 Q1</v>
      </c>
      <c r="DJ2" t="str">
        <f>$AY$77</f>
        <v>2005 Q4</v>
      </c>
      <c r="DK2" t="str">
        <f>$AZ$77</f>
        <v>2005 Q3</v>
      </c>
      <c r="DL2" t="str">
        <f>$BA$77</f>
        <v>2005 Q2</v>
      </c>
      <c r="DM2" t="str">
        <f>$BB$77</f>
        <v>2005 Q1</v>
      </c>
      <c r="DN2" t="str">
        <f>$BC$77</f>
        <v>2004 Q4</v>
      </c>
      <c r="DO2" t="str">
        <f>$BD$77</f>
        <v>2004 Q3</v>
      </c>
      <c r="DP2" t="str">
        <f>$BE$77</f>
        <v>2004 Q2</v>
      </c>
      <c r="DQ2" t="str">
        <f>$BF$77</f>
        <v>2004 Q1</v>
      </c>
      <c r="DR2" t="str">
        <f>$BG$77</f>
        <v>2003 Q4</v>
      </c>
      <c r="DS2" t="str">
        <f>$BH$77</f>
        <v>2003 Q3</v>
      </c>
      <c r="DT2" t="str">
        <f>$BI$77</f>
        <v>2003 Q2</v>
      </c>
      <c r="DU2" t="str">
        <f>$BJ$77</f>
        <v>2003 Q1</v>
      </c>
    </row>
    <row r="3" spans="1:125">
      <c r="A3" t="str">
        <f>"NAREIT T-Tracker数据"</f>
        <v>NAREIT T-Tracker数据</v>
      </c>
      <c r="B3" t="str">
        <f>""</f>
        <v/>
      </c>
      <c r="E3" t="str">
        <f>"标题"</f>
        <v>标题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"住宅房地产投资信托数据 - 住宅房地产投资信托总营运现金流"</f>
        <v>住宅房地产投资信托数据 - 住宅房地产投资信托总营运现金流</v>
      </c>
      <c r="B4" t="str">
        <f>"RECFFORS Index"</f>
        <v>RECFFORS Index</v>
      </c>
      <c r="C4" t="str">
        <f>"PR005"</f>
        <v>PR005</v>
      </c>
      <c r="D4" t="str">
        <f>"PX_LAST"</f>
        <v>PX_LAST</v>
      </c>
      <c r="E4" t="str">
        <f>"动态"</f>
        <v>动态</v>
      </c>
      <c r="F4">
        <f ca="1">IF(AND(ISNUMBER($F$41),$B$39=1),$F$41,HLOOKUP(INDIRECT(ADDRESS(2,COLUMN())),OFFSET($BN$2,0,0,ROW()-1,60),ROW()-1,FALSE))</f>
        <v>1812.395066</v>
      </c>
      <c r="G4">
        <f ca="1">IF(AND(ISNUMBER($G$41),$B$39=1),$G$41,HLOOKUP(INDIRECT(ADDRESS(2,COLUMN())),OFFSET($BN$2,0,0,ROW()-1,60),ROW()-1,FALSE))</f>
        <v>1784.193</v>
      </c>
      <c r="H4">
        <f ca="1">IF(AND(ISNUMBER($H$41),$B$39=1),$H$41,HLOOKUP(INDIRECT(ADDRESS(2,COLUMN())),OFFSET($BN$2,0,0,ROW()-1,60),ROW()-1,FALSE))</f>
        <v>1727.5</v>
      </c>
      <c r="I4">
        <f ca="1">IF(AND(ISNUMBER($I$41),$B$39=1),$I$41,HLOOKUP(INDIRECT(ADDRESS(2,COLUMN())),OFFSET($BN$2,0,0,ROW()-1,60),ROW()-1,FALSE))</f>
        <v>1734.752</v>
      </c>
      <c r="J4">
        <f ca="1">IF(AND(ISNUMBER($J$41),$B$39=1),$J$41,HLOOKUP(INDIRECT(ADDRESS(2,COLUMN())),OFFSET($BN$2,0,0,ROW()-1,60),ROW()-1,FALSE))</f>
        <v>1596.9760000000001</v>
      </c>
      <c r="K4">
        <f ca="1">IF(AND(ISNUMBER($K$41),$B$39=1),$K$41,HLOOKUP(INDIRECT(ADDRESS(2,COLUMN())),OFFSET($BN$2,0,0,ROW()-1,60),ROW()-1,FALSE))</f>
        <v>1626.8789999999999</v>
      </c>
      <c r="L4">
        <f ca="1">IF(AND(ISNUMBER($L$41),$B$39=1),$L$41,HLOOKUP(INDIRECT(ADDRESS(2,COLUMN())),OFFSET($BN$2,0,0,ROW()-1,60),ROW()-1,FALSE))</f>
        <v>1646.4829999999999</v>
      </c>
      <c r="M4">
        <f ca="1">IF(AND(ISNUMBER($M$41),$B$39=1),$M$41,HLOOKUP(INDIRECT(ADDRESS(2,COLUMN())),OFFSET($BN$2,0,0,ROW()-1,60),ROW()-1,FALSE))</f>
        <v>1489.5329999999999</v>
      </c>
      <c r="N4">
        <f ca="1">IF(AND(ISNUMBER($N$41),$B$39=1),$N$41,HLOOKUP(INDIRECT(ADDRESS(2,COLUMN())),OFFSET($BN$2,0,0,ROW()-1,60),ROW()-1,FALSE))</f>
        <v>1579.8610000000001</v>
      </c>
      <c r="O4">
        <f ca="1">IF(AND(ISNUMBER($O$41),$B$39=1),$O$41,HLOOKUP(INDIRECT(ADDRESS(2,COLUMN())),OFFSET($BN$2,0,0,ROW()-1,60),ROW()-1,FALSE))</f>
        <v>1541.452</v>
      </c>
      <c r="P4">
        <f ca="1">IF(AND(ISNUMBER($P$41),$B$39=1),$P$41,HLOOKUP(INDIRECT(ADDRESS(2,COLUMN())),OFFSET($BN$2,0,0,ROW()-1,60),ROW()-1,FALSE))</f>
        <v>1661.556</v>
      </c>
      <c r="Q4">
        <f ca="1">IF(AND(ISNUMBER($Q$41),$B$39=1),$Q$41,HLOOKUP(INDIRECT(ADDRESS(2,COLUMN())),OFFSET($BN$2,0,0,ROW()-1,60),ROW()-1,FALSE))</f>
        <v>1519.3430000000001</v>
      </c>
      <c r="R4">
        <f ca="1">IF(AND(ISNUMBER($R$41),$B$39=1),$R$41,HLOOKUP(INDIRECT(ADDRESS(2,COLUMN())),OFFSET($BN$2,0,0,ROW()-1,60),ROW()-1,FALSE))</f>
        <v>1467.2929999999999</v>
      </c>
      <c r="S4">
        <f ca="1">IF(AND(ISNUMBER($S$41),$B$39=1),$S$41,HLOOKUP(INDIRECT(ADDRESS(2,COLUMN())),OFFSET($BN$2,0,0,ROW()-1,60),ROW()-1,FALSE))</f>
        <v>1278.0619999999999</v>
      </c>
      <c r="T4">
        <f ca="1">IF(AND(ISNUMBER($T$41),$B$39=1),$T$41,HLOOKUP(INDIRECT(ADDRESS(2,COLUMN())),OFFSET($BN$2,0,0,ROW()-1,60),ROW()-1,FALSE))</f>
        <v>1330.136</v>
      </c>
      <c r="U4">
        <f ca="1">IF(AND(ISNUMBER($U$41),$B$39=1),$U$41,HLOOKUP(INDIRECT(ADDRESS(2,COLUMN())),OFFSET($BN$2,0,0,ROW()-1,60),ROW()-1,FALSE))</f>
        <v>1255.4870000000001</v>
      </c>
      <c r="V4">
        <f ca="1">IF(AND(ISNUMBER($V$41),$B$39=1),$V$41,HLOOKUP(INDIRECT(ADDRESS(2,COLUMN())),OFFSET($BN$2,0,0,ROW()-1,60),ROW()-1,FALSE))</f>
        <v>1279.462</v>
      </c>
      <c r="W4">
        <f ca="1">IF(AND(ISNUMBER($W$41),$B$39=1),$W$41,HLOOKUP(INDIRECT(ADDRESS(2,COLUMN())),OFFSET($BN$2,0,0,ROW()-1,60),ROW()-1,FALSE))</f>
        <v>1128.721</v>
      </c>
      <c r="X4">
        <f ca="1">IF(AND(ISNUMBER($X$41),$B$39=1),$X$41,HLOOKUP(INDIRECT(ADDRESS(2,COLUMN())),OFFSET($BN$2,0,0,ROW()-1,60),ROW()-1,FALSE))</f>
        <v>1221.1400000000001</v>
      </c>
      <c r="Y4">
        <f ca="1">IF(AND(ISNUMBER($Y$41),$B$39=1),$Y$41,HLOOKUP(INDIRECT(ADDRESS(2,COLUMN())),OFFSET($BN$2,0,0,ROW()-1,60),ROW()-1,FALSE))</f>
        <v>941.94500000000005</v>
      </c>
      <c r="Z4">
        <f ca="1">IF(AND(ISNUMBER($Z$41),$B$39=1),$Z$41,HLOOKUP(INDIRECT(ADDRESS(2,COLUMN())),OFFSET($BN$2,0,0,ROW()-1,60),ROW()-1,FALSE))</f>
        <v>1132.576</v>
      </c>
      <c r="AA4">
        <f ca="1">IF(AND(ISNUMBER($AA$41),$B$39=1),$AA$41,HLOOKUP(INDIRECT(ADDRESS(2,COLUMN())),OFFSET($BN$2,0,0,ROW()-1,60),ROW()-1,FALSE))</f>
        <v>1078.7159999999999</v>
      </c>
      <c r="AB4">
        <f ca="1">IF(AND(ISNUMBER($AB$41),$B$39=1),$AB$41,HLOOKUP(INDIRECT(ADDRESS(2,COLUMN())),OFFSET($BN$2,0,0,ROW()-1,60),ROW()-1,FALSE))</f>
        <v>966.16700000000003</v>
      </c>
      <c r="AC4">
        <f ca="1">IF(AND(ISNUMBER($AC$41),$B$39=1),$AC$41,HLOOKUP(INDIRECT(ADDRESS(2,COLUMN())),OFFSET($BN$2,0,0,ROW()-1,60),ROW()-1,FALSE))</f>
        <v>965.71799999999996</v>
      </c>
      <c r="AD4">
        <f ca="1">IF(AND(ISNUMBER($AD$41),$B$39=1),$AD$41,HLOOKUP(INDIRECT(ADDRESS(2,COLUMN())),OFFSET($BN$2,0,0,ROW()-1,60),ROW()-1,FALSE))</f>
        <v>894.17700000000002</v>
      </c>
      <c r="AE4">
        <f ca="1">IF(AND(ISNUMBER($AE$41),$B$39=1),$AE$41,HLOOKUP(INDIRECT(ADDRESS(2,COLUMN())),OFFSET($BN$2,0,0,ROW()-1,60),ROW()-1,FALSE))</f>
        <v>814.43</v>
      </c>
      <c r="AF4">
        <f ca="1">IF(AND(ISNUMBER($AF$41),$B$39=1),$AF$41,HLOOKUP(INDIRECT(ADDRESS(2,COLUMN())),OFFSET($BN$2,0,0,ROW()-1,60),ROW()-1,FALSE))</f>
        <v>727.10799999999995</v>
      </c>
      <c r="AG4">
        <f ca="1">IF(AND(ISNUMBER($AG$41),$B$39=1),$AG$41,HLOOKUP(INDIRECT(ADDRESS(2,COLUMN())),OFFSET($BN$2,0,0,ROW()-1,60),ROW()-1,FALSE))</f>
        <v>757.96799999999996</v>
      </c>
      <c r="AH4">
        <f ca="1">IF(AND(ISNUMBER($AH$41),$B$39=1),$AH$41,HLOOKUP(INDIRECT(ADDRESS(2,COLUMN())),OFFSET($BN$2,0,0,ROW()-1,60),ROW()-1,FALSE))</f>
        <v>649.76099999999997</v>
      </c>
      <c r="AI4">
        <f ca="1">IF(AND(ISNUMBER($AI$41),$B$39=1),$AI$41,HLOOKUP(INDIRECT(ADDRESS(2,COLUMN())),OFFSET($BN$2,0,0,ROW()-1,60),ROW()-1,FALSE))</f>
        <v>655.80600000000004</v>
      </c>
      <c r="AJ4">
        <f ca="1">IF(AND(ISNUMBER($AJ$41),$B$39=1),$AJ$41,HLOOKUP(INDIRECT(ADDRESS(2,COLUMN())),OFFSET($BN$2,0,0,ROW()-1,60),ROW()-1,FALSE))</f>
        <v>627.59299999999996</v>
      </c>
      <c r="AK4">
        <f ca="1">IF(AND(ISNUMBER($AK$41),$B$39=1),$AK$41,HLOOKUP(INDIRECT(ADDRESS(2,COLUMN())),OFFSET($BN$2,0,0,ROW()-1,60),ROW()-1,FALSE))</f>
        <v>630.09199999999998</v>
      </c>
      <c r="AL4">
        <f ca="1">IF(AND(ISNUMBER($AL$41),$B$39=1),$AL$41,HLOOKUP(INDIRECT(ADDRESS(2,COLUMN())),OFFSET($BN$2,0,0,ROW()-1,60),ROW()-1,FALSE))</f>
        <v>451.95</v>
      </c>
      <c r="AM4">
        <f ca="1">IF(AND(ISNUMBER($AM$41),$B$39=1),$AM$41,HLOOKUP(INDIRECT(ADDRESS(2,COLUMN())),OFFSET($BN$2,0,0,ROW()-1,60),ROW()-1,FALSE))</f>
        <v>608.85599999999999</v>
      </c>
      <c r="AN4">
        <f ca="1">IF(AND(ISNUMBER($AN$41),$B$39=1),$AN$41,HLOOKUP(INDIRECT(ADDRESS(2,COLUMN())),OFFSET($BN$2,0,0,ROW()-1,60),ROW()-1,FALSE))</f>
        <v>581.01</v>
      </c>
      <c r="AO4">
        <f ca="1">IF(AND(ISNUMBER($AO$41),$B$39=1),$AO$41,HLOOKUP(INDIRECT(ADDRESS(2,COLUMN())),OFFSET($BN$2,0,0,ROW()-1,60),ROW()-1,FALSE))</f>
        <v>766.03300000000002</v>
      </c>
      <c r="AP4">
        <f ca="1">IF(AND(ISNUMBER($AP$41),$B$39=1),$AP$41,HLOOKUP(INDIRECT(ADDRESS(2,COLUMN())),OFFSET($BN$2,0,0,ROW()-1,60),ROW()-1,FALSE))</f>
        <v>202.31899999999999</v>
      </c>
      <c r="AQ4">
        <f ca="1">IF(AND(ISNUMBER($AQ$41),$B$39=1),$AQ$41,HLOOKUP(INDIRECT(ADDRESS(2,COLUMN())),OFFSET($BN$2,0,0,ROW()-1,60),ROW()-1,FALSE))</f>
        <v>707.30799999999999</v>
      </c>
      <c r="AR4">
        <f ca="1">IF(AND(ISNUMBER($AR$41),$B$39=1),$AR$41,HLOOKUP(INDIRECT(ADDRESS(2,COLUMN())),OFFSET($BN$2,0,0,ROW()-1,60),ROW()-1,FALSE))</f>
        <v>695.93</v>
      </c>
      <c r="AS4">
        <f ca="1">IF(AND(ISNUMBER($AS$41),$B$39=1),$AS$41,HLOOKUP(INDIRECT(ADDRESS(2,COLUMN())),OFFSET($BN$2,0,0,ROW()-1,60),ROW()-1,FALSE))</f>
        <v>725.15899999999999</v>
      </c>
      <c r="AT4">
        <f ca="1">IF(AND(ISNUMBER($AT$41),$B$39=1),$AT$41,HLOOKUP(INDIRECT(ADDRESS(2,COLUMN())),OFFSET($BN$2,0,0,ROW()-1,60),ROW()-1,FALSE))</f>
        <v>747.6345</v>
      </c>
      <c r="AU4">
        <f ca="1">IF(AND(ISNUMBER($AU$41),$B$39=1),$AU$41,HLOOKUP(INDIRECT(ADDRESS(2,COLUMN())),OFFSET($BN$2,0,0,ROW()-1,60),ROW()-1,FALSE))</f>
        <v>715.05600000000004</v>
      </c>
      <c r="AV4">
        <f ca="1">IF(AND(ISNUMBER($AV$41),$B$39=1),$AV$41,HLOOKUP(INDIRECT(ADDRESS(2,COLUMN())),OFFSET($BN$2,0,0,ROW()-1,60),ROW()-1,FALSE))</f>
        <v>855.08699999999999</v>
      </c>
      <c r="AW4">
        <f ca="1">IF(AND(ISNUMBER($AW$41),$B$39=1),$AW$41,HLOOKUP(INDIRECT(ADDRESS(2,COLUMN())),OFFSET($BN$2,0,0,ROW()-1,60),ROW()-1,FALSE))</f>
        <v>840.92600000000004</v>
      </c>
      <c r="AX4">
        <f ca="1">IF(AND(ISNUMBER($AX$41),$B$39=1),$AX$41,HLOOKUP(INDIRECT(ADDRESS(2,COLUMN())),OFFSET($BN$2,0,0,ROW()-1,60),ROW()-1,FALSE))</f>
        <v>781.09799999999996</v>
      </c>
      <c r="AY4">
        <f ca="1">IF(AND(ISNUMBER($AY$41),$B$39=1),$AY$41,HLOOKUP(INDIRECT(ADDRESS(2,COLUMN())),OFFSET($BN$2,0,0,ROW()-1,60),ROW()-1,FALSE))</f>
        <v>839.27599999999995</v>
      </c>
      <c r="AZ4">
        <f ca="1">IF(AND(ISNUMBER($AZ$41),$B$39=1),$AZ$41,HLOOKUP(INDIRECT(ADDRESS(2,COLUMN())),OFFSET($BN$2,0,0,ROW()-1,60),ROW()-1,FALSE))</f>
        <v>869.423</v>
      </c>
      <c r="BA4">
        <f ca="1">IF(AND(ISNUMBER($BA$41),$B$39=1),$BA$41,HLOOKUP(INDIRECT(ADDRESS(2,COLUMN())),OFFSET($BN$2,0,0,ROW()-1,60),ROW()-1,FALSE))</f>
        <v>833.00800000000004</v>
      </c>
      <c r="BB4">
        <f ca="1">IF(AND(ISNUMBER($BB$41),$B$39=1),$BB$41,HLOOKUP(INDIRECT(ADDRESS(2,COLUMN())),OFFSET($BN$2,0,0,ROW()-1,60),ROW()-1,FALSE))</f>
        <v>778.27700000000004</v>
      </c>
      <c r="BC4">
        <f ca="1">IF(AND(ISNUMBER($BC$41),$B$39=1),$BC$41,HLOOKUP(INDIRECT(ADDRESS(2,COLUMN())),OFFSET($BN$2,0,0,ROW()-1,60),ROW()-1,FALSE))</f>
        <v>686.80200000000002</v>
      </c>
      <c r="BD4">
        <f ca="1">IF(AND(ISNUMBER($BD$41),$B$39=1),$BD$41,HLOOKUP(INDIRECT(ADDRESS(2,COLUMN())),OFFSET($BN$2,0,0,ROW()-1,60),ROW()-1,FALSE))</f>
        <v>779.58500000000004</v>
      </c>
      <c r="BE4">
        <f ca="1">IF(AND(ISNUMBER($BE$41),$B$39=1),$BE$41,HLOOKUP(INDIRECT(ADDRESS(2,COLUMN())),OFFSET($BN$2,0,0,ROW()-1,60),ROW()-1,FALSE))</f>
        <v>829.71799999999996</v>
      </c>
      <c r="BF4">
        <f ca="1">IF(AND(ISNUMBER($BF$41),$B$39=1),$BF$41,HLOOKUP(INDIRECT(ADDRESS(2,COLUMN())),OFFSET($BN$2,0,0,ROW()-1,60),ROW()-1,FALSE))</f>
        <v>698.87350000000004</v>
      </c>
      <c r="BG4">
        <f ca="1">IF(AND(ISNUMBER($BG$41),$B$39=1),$BG$41,HLOOKUP(INDIRECT(ADDRESS(2,COLUMN())),OFFSET($BN$2,0,0,ROW()-1,60),ROW()-1,FALSE))</f>
        <v>754.8365</v>
      </c>
      <c r="BH4">
        <f ca="1">IF(AND(ISNUMBER($BH$41),$B$39=1),$BH$41,HLOOKUP(INDIRECT(ADDRESS(2,COLUMN())),OFFSET($BN$2,0,0,ROW()-1,60),ROW()-1,FALSE))</f>
        <v>705.67</v>
      </c>
      <c r="BI4">
        <f ca="1">IF(AND(ISNUMBER($BI$41),$B$39=1),$BI$41,HLOOKUP(INDIRECT(ADDRESS(2,COLUMN())),OFFSET($BN$2,0,0,ROW()-1,60),ROW()-1,FALSE))</f>
        <v>714.14</v>
      </c>
      <c r="BJ4">
        <f ca="1">IF(AND(ISNUMBER($BJ$41),$B$39=1),$BJ$41,HLOOKUP(INDIRECT(ADDRESS(2,COLUMN())),OFFSET($BN$2,0,0,ROW()-1,60),ROW()-1,FALSE))</f>
        <v>715.80550000000005</v>
      </c>
      <c r="BK4">
        <f ca="1">IF(AND(ISNUMBER($BK$41),$B$39=1),$BK$41,HLOOKUP(INDIRECT(ADDRESS(2,COLUMN())),OFFSET($BN$2,0,0,ROW()-1,60),ROW()-1,FALSE))</f>
        <v>740.86699999999996</v>
      </c>
      <c r="BL4">
        <f ca="1">IF(AND(ISNUMBER($BL$41),$B$39=1),$BL$41,HLOOKUP(INDIRECT(ADDRESS(2,COLUMN())),OFFSET($BN$2,0,0,ROW()-1,60),ROW()-1,FALSE))</f>
        <v>743.71500000000003</v>
      </c>
      <c r="BM4">
        <f ca="1">IF(AND(ISNUMBER($BM$41),$B$39=1),$BM$41,HLOOKUP(INDIRECT(ADDRESS(2,COLUMN())),OFFSET($BN$2,0,0,ROW()-1,60),ROW()-1,FALSE))</f>
        <v>748.56100000000004</v>
      </c>
      <c r="BN4">
        <f>1812.395066</f>
        <v>1812.395066</v>
      </c>
      <c r="BO4">
        <f>1784.193</f>
        <v>1784.193</v>
      </c>
      <c r="BP4">
        <f>1727.5</f>
        <v>1727.5</v>
      </c>
      <c r="BQ4">
        <f>1734.752</f>
        <v>1734.752</v>
      </c>
      <c r="BR4">
        <f>1596.976</f>
        <v>1596.9760000000001</v>
      </c>
      <c r="BS4">
        <f>1626.879</f>
        <v>1626.8789999999999</v>
      </c>
      <c r="BT4">
        <f>1646.483</f>
        <v>1646.4829999999999</v>
      </c>
      <c r="BU4">
        <f>1489.533</f>
        <v>1489.5329999999999</v>
      </c>
      <c r="BV4">
        <f>1579.861</f>
        <v>1579.8610000000001</v>
      </c>
      <c r="BW4">
        <f>1541.452</f>
        <v>1541.452</v>
      </c>
      <c r="BX4">
        <f>1661.556</f>
        <v>1661.556</v>
      </c>
      <c r="BY4">
        <f>1519.343</f>
        <v>1519.3430000000001</v>
      </c>
      <c r="BZ4">
        <f>1467.293</f>
        <v>1467.2929999999999</v>
      </c>
      <c r="CA4">
        <f>1278.062</f>
        <v>1278.0619999999999</v>
      </c>
      <c r="CB4">
        <f>1330.136</f>
        <v>1330.136</v>
      </c>
      <c r="CC4">
        <f>1255.487</f>
        <v>1255.4870000000001</v>
      </c>
      <c r="CD4">
        <f>1279.462</f>
        <v>1279.462</v>
      </c>
      <c r="CE4">
        <f>1128.721</f>
        <v>1128.721</v>
      </c>
      <c r="CF4">
        <f>1221.14</f>
        <v>1221.1400000000001</v>
      </c>
      <c r="CG4">
        <f>941.945</f>
        <v>941.94500000000005</v>
      </c>
      <c r="CH4">
        <f>1132.576</f>
        <v>1132.576</v>
      </c>
      <c r="CI4">
        <f>1078.716</f>
        <v>1078.7159999999999</v>
      </c>
      <c r="CJ4">
        <f>966.167</f>
        <v>966.16700000000003</v>
      </c>
      <c r="CK4">
        <f>965.718</f>
        <v>965.71799999999996</v>
      </c>
      <c r="CL4">
        <f>894.177</f>
        <v>894.17700000000002</v>
      </c>
      <c r="CM4">
        <f>814.43</f>
        <v>814.43</v>
      </c>
      <c r="CN4">
        <f>727.108</f>
        <v>727.10799999999995</v>
      </c>
      <c r="CO4">
        <f>757.968</f>
        <v>757.96799999999996</v>
      </c>
      <c r="CP4">
        <f>649.761</f>
        <v>649.76099999999997</v>
      </c>
      <c r="CQ4">
        <f>655.806</f>
        <v>655.80600000000004</v>
      </c>
      <c r="CR4">
        <f>627.593</f>
        <v>627.59299999999996</v>
      </c>
      <c r="CS4">
        <f>630.092</f>
        <v>630.09199999999998</v>
      </c>
      <c r="CT4">
        <f>451.95</f>
        <v>451.95</v>
      </c>
      <c r="CU4">
        <f>608.856</f>
        <v>608.85599999999999</v>
      </c>
      <c r="CV4">
        <f>581.01</f>
        <v>581.01</v>
      </c>
      <c r="CW4">
        <f>766.033</f>
        <v>766.03300000000002</v>
      </c>
      <c r="CX4">
        <f>202.319</f>
        <v>202.31899999999999</v>
      </c>
      <c r="CY4">
        <f>707.308</f>
        <v>707.30799999999999</v>
      </c>
      <c r="CZ4">
        <f>695.93</f>
        <v>695.93</v>
      </c>
      <c r="DA4">
        <f>725.159</f>
        <v>725.15899999999999</v>
      </c>
      <c r="DB4">
        <f>747.6345</f>
        <v>747.6345</v>
      </c>
      <c r="DC4">
        <f>715.056</f>
        <v>715.05600000000004</v>
      </c>
      <c r="DD4">
        <f>855.087</f>
        <v>855.08699999999999</v>
      </c>
      <c r="DE4">
        <f>840.926</f>
        <v>840.92600000000004</v>
      </c>
      <c r="DF4">
        <f>781.098</f>
        <v>781.09799999999996</v>
      </c>
      <c r="DG4">
        <f>839.276</f>
        <v>839.27599999999995</v>
      </c>
      <c r="DH4">
        <f>869.423</f>
        <v>869.423</v>
      </c>
      <c r="DI4">
        <f>833.008</f>
        <v>833.00800000000004</v>
      </c>
      <c r="DJ4">
        <f>778.277</f>
        <v>778.27700000000004</v>
      </c>
      <c r="DK4">
        <f>686.802</f>
        <v>686.80200000000002</v>
      </c>
      <c r="DL4">
        <f>779.585</f>
        <v>779.58500000000004</v>
      </c>
      <c r="DM4">
        <f>829.718</f>
        <v>829.71799999999996</v>
      </c>
      <c r="DN4">
        <f>698.8735</f>
        <v>698.87350000000004</v>
      </c>
      <c r="DO4">
        <f>754.8365</f>
        <v>754.8365</v>
      </c>
      <c r="DP4">
        <f>705.67</f>
        <v>705.67</v>
      </c>
      <c r="DQ4">
        <f>714.14</f>
        <v>714.14</v>
      </c>
      <c r="DR4">
        <f>715.8055</f>
        <v>715.80550000000005</v>
      </c>
      <c r="DS4">
        <f>740.867</f>
        <v>740.86699999999996</v>
      </c>
      <c r="DT4">
        <f>743.715</f>
        <v>743.71500000000003</v>
      </c>
      <c r="DU4">
        <f>748.561</f>
        <v>748.56100000000004</v>
      </c>
    </row>
    <row r="5" spans="1:125">
      <c r="A5" t="str">
        <f>"住宅房地产投资信托数据 - 住宅房地产投资信托净营业利润"</f>
        <v>住宅房地产投资信托数据 - 住宅房地产投资信托净营业利润</v>
      </c>
      <c r="B5" t="str">
        <f>"RECFNORS Index"</f>
        <v>RECFNORS Index</v>
      </c>
      <c r="C5" t="str">
        <f>"PR005"</f>
        <v>PR005</v>
      </c>
      <c r="D5" t="str">
        <f>"PX_LAST"</f>
        <v>PX_LAST</v>
      </c>
      <c r="E5" t="str">
        <f>"动态"</f>
        <v>动态</v>
      </c>
      <c r="F5">
        <f ca="1">IF(AND(ISNUMBER($F$42),$B$39=1),$F$42,HLOOKUP(INDIRECT(ADDRESS(2,COLUMN())),OFFSET($BN$2,0,0,ROW()-1,60),ROW()-1,FALSE))</f>
        <v>2754.119467</v>
      </c>
      <c r="G5">
        <f ca="1">IF(AND(ISNUMBER($G$42),$B$39=1),$G$42,HLOOKUP(INDIRECT(ADDRESS(2,COLUMN())),OFFSET($BN$2,0,0,ROW()-1,60),ROW()-1,FALSE))</f>
        <v>2658.4229999999998</v>
      </c>
      <c r="H5">
        <f ca="1">IF(AND(ISNUMBER($H$42),$B$39=1),$H$42,HLOOKUP(INDIRECT(ADDRESS(2,COLUMN())),OFFSET($BN$2,0,0,ROW()-1,60),ROW()-1,FALSE))</f>
        <v>2646.4009999999998</v>
      </c>
      <c r="I5">
        <f ca="1">IF(AND(ISNUMBER($I$42),$B$39=1),$I$42,HLOOKUP(INDIRECT(ADDRESS(2,COLUMN())),OFFSET($BN$2,0,0,ROW()-1,60),ROW()-1,FALSE))</f>
        <v>2665.9070000000002</v>
      </c>
      <c r="J5">
        <f ca="1">IF(AND(ISNUMBER($J$42),$B$39=1),$J$42,HLOOKUP(INDIRECT(ADDRESS(2,COLUMN())),OFFSET($BN$2,0,0,ROW()-1,60),ROW()-1,FALSE))</f>
        <v>2456.0439999999999</v>
      </c>
      <c r="K5">
        <f ca="1">IF(AND(ISNUMBER($K$42),$B$39=1),$K$42,HLOOKUP(INDIRECT(ADDRESS(2,COLUMN())),OFFSET($BN$2,0,0,ROW()-1,60),ROW()-1,FALSE))</f>
        <v>2392.5770000000002</v>
      </c>
      <c r="L5">
        <f ca="1">IF(AND(ISNUMBER($L$42),$B$39=1),$L$42,HLOOKUP(INDIRECT(ADDRESS(2,COLUMN())),OFFSET($BN$2,0,0,ROW()-1,60),ROW()-1,FALSE))</f>
        <v>2357.018</v>
      </c>
      <c r="M5">
        <f ca="1">IF(AND(ISNUMBER($M$42),$B$39=1),$M$42,HLOOKUP(INDIRECT(ADDRESS(2,COLUMN())),OFFSET($BN$2,0,0,ROW()-1,60),ROW()-1,FALSE))</f>
        <v>2353.482</v>
      </c>
      <c r="N5">
        <f ca="1">IF(AND(ISNUMBER($N$42),$B$39=1),$N$42,HLOOKUP(INDIRECT(ADDRESS(2,COLUMN())),OFFSET($BN$2,0,0,ROW()-1,60),ROW()-1,FALSE))</f>
        <v>2360.35</v>
      </c>
      <c r="O5">
        <f ca="1">IF(AND(ISNUMBER($O$42),$B$39=1),$O$42,HLOOKUP(INDIRECT(ADDRESS(2,COLUMN())),OFFSET($BN$2,0,0,ROW()-1,60),ROW()-1,FALSE))</f>
        <v>2232.3710000000001</v>
      </c>
      <c r="P5">
        <f ca="1">IF(AND(ISNUMBER($P$42),$B$39=1),$P$42,HLOOKUP(INDIRECT(ADDRESS(2,COLUMN())),OFFSET($BN$2,0,0,ROW()-1,60),ROW()-1,FALSE))</f>
        <v>2355.3719999999998</v>
      </c>
      <c r="Q5">
        <f ca="1">IF(AND(ISNUMBER($Q$42),$B$39=1),$Q$42,HLOOKUP(INDIRECT(ADDRESS(2,COLUMN())),OFFSET($BN$2,0,0,ROW()-1,60),ROW()-1,FALSE))</f>
        <v>2275.674</v>
      </c>
      <c r="R5">
        <f ca="1">IF(AND(ISNUMBER($R$42),$B$39=1),$R$42,HLOOKUP(INDIRECT(ADDRESS(2,COLUMN())),OFFSET($BN$2,0,0,ROW()-1,60),ROW()-1,FALSE))</f>
        <v>2225.5715</v>
      </c>
      <c r="S5">
        <f ca="1">IF(AND(ISNUMBER($S$42),$B$39=1),$S$42,HLOOKUP(INDIRECT(ADDRESS(2,COLUMN())),OFFSET($BN$2,0,0,ROW()-1,60),ROW()-1,FALSE))</f>
        <v>2077.9290000000001</v>
      </c>
      <c r="T5">
        <f ca="1">IF(AND(ISNUMBER($T$42),$B$39=1),$T$42,HLOOKUP(INDIRECT(ADDRESS(2,COLUMN())),OFFSET($BN$2,0,0,ROW()-1,60),ROW()-1,FALSE))</f>
        <v>2037.04</v>
      </c>
      <c r="U5">
        <f ca="1">IF(AND(ISNUMBER($U$42),$B$39=1),$U$42,HLOOKUP(INDIRECT(ADDRESS(2,COLUMN())),OFFSET($BN$2,0,0,ROW()-1,60),ROW()-1,FALSE))</f>
        <v>1902.9390000000001</v>
      </c>
      <c r="V5">
        <f ca="1">IF(AND(ISNUMBER($V$42),$B$39=1),$V$42,HLOOKUP(INDIRECT(ADDRESS(2,COLUMN())),OFFSET($BN$2,0,0,ROW()-1,60),ROW()-1,FALSE))</f>
        <v>1972.425</v>
      </c>
      <c r="W5">
        <f ca="1">IF(AND(ISNUMBER($W$42),$B$39=1),$W$42,HLOOKUP(INDIRECT(ADDRESS(2,COLUMN())),OFFSET($BN$2,0,0,ROW()-1,60),ROW()-1,FALSE))</f>
        <v>1815.75</v>
      </c>
      <c r="X5">
        <f ca="1">IF(AND(ISNUMBER($X$42),$B$39=1),$X$42,HLOOKUP(INDIRECT(ADDRESS(2,COLUMN())),OFFSET($BN$2,0,0,ROW()-1,60),ROW()-1,FALSE))</f>
        <v>1855.6859999999999</v>
      </c>
      <c r="Y5">
        <f ca="1">IF(AND(ISNUMBER($Y$42),$B$39=1),$Y$42,HLOOKUP(INDIRECT(ADDRESS(2,COLUMN())),OFFSET($BN$2,0,0,ROW()-1,60),ROW()-1,FALSE))</f>
        <v>1733.444</v>
      </c>
      <c r="Z5">
        <f ca="1">IF(AND(ISNUMBER($Z$42),$B$39=1),$Z$42,HLOOKUP(INDIRECT(ADDRESS(2,COLUMN())),OFFSET($BN$2,0,0,ROW()-1,60),ROW()-1,FALSE))</f>
        <v>1687.6990000000001</v>
      </c>
      <c r="AA5">
        <f ca="1">IF(AND(ISNUMBER($AA$42),$B$39=1),$AA$42,HLOOKUP(INDIRECT(ADDRESS(2,COLUMN())),OFFSET($BN$2,0,0,ROW()-1,60),ROW()-1,FALSE))</f>
        <v>1621.655</v>
      </c>
      <c r="AB5">
        <f ca="1">IF(AND(ISNUMBER($AB$42),$B$39=1),$AB$42,HLOOKUP(INDIRECT(ADDRESS(2,COLUMN())),OFFSET($BN$2,0,0,ROW()-1,60),ROW()-1,FALSE))</f>
        <v>1592.5530000000001</v>
      </c>
      <c r="AC5">
        <f ca="1">IF(AND(ISNUMBER($AC$42),$B$39=1),$AC$42,HLOOKUP(INDIRECT(ADDRESS(2,COLUMN())),OFFSET($BN$2,0,0,ROW()-1,60),ROW()-1,FALSE))</f>
        <v>1571.6479999999999</v>
      </c>
      <c r="AD5">
        <f ca="1">IF(AND(ISNUMBER($AD$42),$B$39=1),$AD$42,HLOOKUP(INDIRECT(ADDRESS(2,COLUMN())),OFFSET($BN$2,0,0,ROW()-1,60),ROW()-1,FALSE))</f>
        <v>1538.701</v>
      </c>
      <c r="AE5">
        <f ca="1">IF(AND(ISNUMBER($AE$42),$B$39=1),$AE$42,HLOOKUP(INDIRECT(ADDRESS(2,COLUMN())),OFFSET($BN$2,0,0,ROW()-1,60),ROW()-1,FALSE))</f>
        <v>1462.8009999999999</v>
      </c>
      <c r="AF5">
        <f ca="1">IF(AND(ISNUMBER($AF$42),$B$39=1),$AF$42,HLOOKUP(INDIRECT(ADDRESS(2,COLUMN())),OFFSET($BN$2,0,0,ROW()-1,60),ROW()-1,FALSE))</f>
        <v>1425.921</v>
      </c>
      <c r="AG5">
        <f ca="1">IF(AND(ISNUMBER($AG$42),$B$39=1),$AG$42,HLOOKUP(INDIRECT(ADDRESS(2,COLUMN())),OFFSET($BN$2,0,0,ROW()-1,60),ROW()-1,FALSE))</f>
        <v>1405.64</v>
      </c>
      <c r="AH5">
        <f ca="1">IF(AND(ISNUMBER($AH$42),$B$39=1),$AH$42,HLOOKUP(INDIRECT(ADDRESS(2,COLUMN())),OFFSET($BN$2,0,0,ROW()-1,60),ROW()-1,FALSE))</f>
        <v>1380.7460000000001</v>
      </c>
      <c r="AI5">
        <f ca="1">IF(AND(ISNUMBER($AI$42),$B$39=1),$AI$42,HLOOKUP(INDIRECT(ADDRESS(2,COLUMN())),OFFSET($BN$2,0,0,ROW()-1,60),ROW()-1,FALSE))</f>
        <v>1316.0909999999999</v>
      </c>
      <c r="AJ5">
        <f ca="1">IF(AND(ISNUMBER($AJ$42),$B$39=1),$AJ$42,HLOOKUP(INDIRECT(ADDRESS(2,COLUMN())),OFFSET($BN$2,0,0,ROW()-1,60),ROW()-1,FALSE))</f>
        <v>1295.627</v>
      </c>
      <c r="AK5">
        <f ca="1">IF(AND(ISNUMBER($AK$42),$B$39=1),$AK$42,HLOOKUP(INDIRECT(ADDRESS(2,COLUMN())),OFFSET($BN$2,0,0,ROW()-1,60),ROW()-1,FALSE))</f>
        <v>1271.4159999999999</v>
      </c>
      <c r="AL5">
        <f ca="1">IF(AND(ISNUMBER($AL$42),$B$39=1),$AL$42,HLOOKUP(INDIRECT(ADDRESS(2,COLUMN())),OFFSET($BN$2,0,0,ROW()-1,60),ROW()-1,FALSE))</f>
        <v>1285.4929999999999</v>
      </c>
      <c r="AM5">
        <f ca="1">IF(AND(ISNUMBER($AM$42),$B$39=1),$AM$42,HLOOKUP(INDIRECT(ADDRESS(2,COLUMN())),OFFSET($BN$2,0,0,ROW()-1,60),ROW()-1,FALSE))</f>
        <v>1271.22</v>
      </c>
      <c r="AN5">
        <f ca="1">IF(AND(ISNUMBER($AN$42),$B$39=1),$AN$42,HLOOKUP(INDIRECT(ADDRESS(2,COLUMN())),OFFSET($BN$2,0,0,ROW()-1,60),ROW()-1,FALSE))</f>
        <v>1323.952</v>
      </c>
      <c r="AO5">
        <f ca="1">IF(AND(ISNUMBER($AO$42),$B$39=1),$AO$42,HLOOKUP(INDIRECT(ADDRESS(2,COLUMN())),OFFSET($BN$2,0,0,ROW()-1,60),ROW()-1,FALSE))</f>
        <v>1342.9670000000001</v>
      </c>
      <c r="AP5">
        <f ca="1">IF(AND(ISNUMBER($AP$42),$B$39=1),$AP$42,HLOOKUP(INDIRECT(ADDRESS(2,COLUMN())),OFFSET($BN$2,0,0,ROW()-1,60),ROW()-1,FALSE))</f>
        <v>1298.1495</v>
      </c>
      <c r="AQ5">
        <f ca="1">IF(AND(ISNUMBER($AQ$42),$B$39=1),$AQ$42,HLOOKUP(INDIRECT(ADDRESS(2,COLUMN())),OFFSET($BN$2,0,0,ROW()-1,60),ROW()-1,FALSE))</f>
        <v>1328.4179999999999</v>
      </c>
      <c r="AR5">
        <f ca="1">IF(AND(ISNUMBER($AR$42),$B$39=1),$AR$42,HLOOKUP(INDIRECT(ADDRESS(2,COLUMN())),OFFSET($BN$2,0,0,ROW()-1,60),ROW()-1,FALSE))</f>
        <v>1354.479</v>
      </c>
      <c r="AS5">
        <f ca="1">IF(AND(ISNUMBER($AS$42),$B$39=1),$AS$42,HLOOKUP(INDIRECT(ADDRESS(2,COLUMN())),OFFSET($BN$2,0,0,ROW()-1,60),ROW()-1,FALSE))</f>
        <v>1369.528</v>
      </c>
      <c r="AT5">
        <f ca="1">IF(AND(ISNUMBER($AT$42),$B$39=1),$AT$42,HLOOKUP(INDIRECT(ADDRESS(2,COLUMN())),OFFSET($BN$2,0,0,ROW()-1,60),ROW()-1,FALSE))</f>
        <v>1402.9390000000001</v>
      </c>
      <c r="AU5">
        <f ca="1">IF(AND(ISNUMBER($AU$42),$B$39=1),$AU$42,HLOOKUP(INDIRECT(ADDRESS(2,COLUMN())),OFFSET($BN$2,0,0,ROW()-1,60),ROW()-1,FALSE))</f>
        <v>1375.337</v>
      </c>
      <c r="AV5">
        <f ca="1">IF(AND(ISNUMBER($AV$42),$B$39=1),$AV$42,HLOOKUP(INDIRECT(ADDRESS(2,COLUMN())),OFFSET($BN$2,0,0,ROW()-1,60),ROW()-1,FALSE))</f>
        <v>1536.7429999999999</v>
      </c>
      <c r="AW5">
        <f ca="1">IF(AND(ISNUMBER($AW$42),$B$39=1),$AW$42,HLOOKUP(INDIRECT(ADDRESS(2,COLUMN())),OFFSET($BN$2,0,0,ROW()-1,60),ROW()-1,FALSE))</f>
        <v>1512.7</v>
      </c>
      <c r="AX5">
        <f ca="1">IF(AND(ISNUMBER($AX$42),$B$39=1),$AX$42,HLOOKUP(INDIRECT(ADDRESS(2,COLUMN())),OFFSET($BN$2,0,0,ROW()-1,60),ROW()-1,FALSE))</f>
        <v>1505.9925000000001</v>
      </c>
      <c r="AY5">
        <f ca="1">IF(AND(ISNUMBER($AY$42),$B$39=1),$AY$42,HLOOKUP(INDIRECT(ADDRESS(2,COLUMN())),OFFSET($BN$2,0,0,ROW()-1,60),ROW()-1,FALSE))</f>
        <v>1494.13</v>
      </c>
      <c r="AZ5">
        <f ca="1">IF(AND(ISNUMBER($AZ$42),$B$39=1),$AZ$42,HLOOKUP(INDIRECT(ADDRESS(2,COLUMN())),OFFSET($BN$2,0,0,ROW()-1,60),ROW()-1,FALSE))</f>
        <v>1483.5029999999999</v>
      </c>
      <c r="BA5">
        <f ca="1">IF(AND(ISNUMBER($BA$42),$B$39=1),$BA$42,HLOOKUP(INDIRECT(ADDRESS(2,COLUMN())),OFFSET($BN$2,0,0,ROW()-1,60),ROW()-1,FALSE))</f>
        <v>1455.1849999999999</v>
      </c>
      <c r="BB5">
        <f ca="1">IF(AND(ISNUMBER($BB$42),$B$39=1),$BB$42,HLOOKUP(INDIRECT(ADDRESS(2,COLUMN())),OFFSET($BN$2,0,0,ROW()-1,60),ROW()-1,FALSE))</f>
        <v>1439.086</v>
      </c>
      <c r="BC5">
        <f ca="1">IF(AND(ISNUMBER($BC$42),$B$39=1),$BC$42,HLOOKUP(INDIRECT(ADDRESS(2,COLUMN())),OFFSET($BN$2,0,0,ROW()-1,60),ROW()-1,FALSE))</f>
        <v>1387.6489999999999</v>
      </c>
      <c r="BD5">
        <f ca="1">IF(AND(ISNUMBER($BD$42),$B$39=1),$BD$42,HLOOKUP(INDIRECT(ADDRESS(2,COLUMN())),OFFSET($BN$2,0,0,ROW()-1,60),ROW()-1,FALSE))</f>
        <v>1437.442</v>
      </c>
      <c r="BE5">
        <f ca="1">IF(AND(ISNUMBER($BE$42),$B$39=1),$BE$42,HLOOKUP(INDIRECT(ADDRESS(2,COLUMN())),OFFSET($BN$2,0,0,ROW()-1,60),ROW()-1,FALSE))</f>
        <v>1380.9970000000001</v>
      </c>
      <c r="BF5">
        <f ca="1">IF(AND(ISNUMBER($BF$42),$B$39=1),$BF$42,HLOOKUP(INDIRECT(ADDRESS(2,COLUMN())),OFFSET($BN$2,0,0,ROW()-1,60),ROW()-1,FALSE))</f>
        <v>1345.4369999999999</v>
      </c>
      <c r="BG5">
        <f ca="1">IF(AND(ISNUMBER($BG$42),$B$39=1),$BG$42,HLOOKUP(INDIRECT(ADDRESS(2,COLUMN())),OFFSET($BN$2,0,0,ROW()-1,60),ROW()-1,FALSE))</f>
        <v>1343.6210000000001</v>
      </c>
      <c r="BH5">
        <f ca="1">IF(AND(ISNUMBER($BH$42),$B$39=1),$BH$42,HLOOKUP(INDIRECT(ADDRESS(2,COLUMN())),OFFSET($BN$2,0,0,ROW()-1,60),ROW()-1,FALSE))</f>
        <v>1369.287</v>
      </c>
      <c r="BI5">
        <f ca="1">IF(AND(ISNUMBER($BI$42),$B$39=1),$BI$42,HLOOKUP(INDIRECT(ADDRESS(2,COLUMN())),OFFSET($BN$2,0,0,ROW()-1,60),ROW()-1,FALSE))</f>
        <v>1332.9960000000001</v>
      </c>
      <c r="BJ5">
        <f ca="1">IF(AND(ISNUMBER($BJ$42),$B$39=1),$BJ$42,HLOOKUP(INDIRECT(ADDRESS(2,COLUMN())),OFFSET($BN$2,0,0,ROW()-1,60),ROW()-1,FALSE))</f>
        <v>1291.0039999999999</v>
      </c>
      <c r="BK5">
        <f ca="1">IF(AND(ISNUMBER($BK$42),$B$39=1),$BK$42,HLOOKUP(INDIRECT(ADDRESS(2,COLUMN())),OFFSET($BN$2,0,0,ROW()-1,60),ROW()-1,FALSE))</f>
        <v>1294.6759999999999</v>
      </c>
      <c r="BL5">
        <f ca="1">IF(AND(ISNUMBER($BL$42),$B$39=1),$BL$42,HLOOKUP(INDIRECT(ADDRESS(2,COLUMN())),OFFSET($BN$2,0,0,ROW()-1,60),ROW()-1,FALSE))</f>
        <v>1360.5429999999999</v>
      </c>
      <c r="BM5">
        <f ca="1">IF(AND(ISNUMBER($BM$42),$B$39=1),$BM$42,HLOOKUP(INDIRECT(ADDRESS(2,COLUMN())),OFFSET($BN$2,0,0,ROW()-1,60),ROW()-1,FALSE))</f>
        <v>1331.904</v>
      </c>
      <c r="BN5">
        <f>2754.119467</f>
        <v>2754.119467</v>
      </c>
      <c r="BO5">
        <f>2658.423</f>
        <v>2658.4229999999998</v>
      </c>
      <c r="BP5">
        <f>2646.401</f>
        <v>2646.4009999999998</v>
      </c>
      <c r="BQ5">
        <f>2665.907</f>
        <v>2665.9070000000002</v>
      </c>
      <c r="BR5">
        <f>2456.044</f>
        <v>2456.0439999999999</v>
      </c>
      <c r="BS5">
        <f>2392.577</f>
        <v>2392.5770000000002</v>
      </c>
      <c r="BT5">
        <f>2357.018</f>
        <v>2357.018</v>
      </c>
      <c r="BU5">
        <f>2353.482</f>
        <v>2353.482</v>
      </c>
      <c r="BV5">
        <f>2360.35</f>
        <v>2360.35</v>
      </c>
      <c r="BW5">
        <f>2232.371</f>
        <v>2232.3710000000001</v>
      </c>
      <c r="BX5">
        <f>2355.372</f>
        <v>2355.3719999999998</v>
      </c>
      <c r="BY5">
        <f>2275.674</f>
        <v>2275.674</v>
      </c>
      <c r="BZ5">
        <f>2225.5715</f>
        <v>2225.5715</v>
      </c>
      <c r="CA5">
        <f>2077.929</f>
        <v>2077.9290000000001</v>
      </c>
      <c r="CB5">
        <f>2037.04</f>
        <v>2037.04</v>
      </c>
      <c r="CC5">
        <f>1902.939</f>
        <v>1902.9390000000001</v>
      </c>
      <c r="CD5">
        <f>1972.425</f>
        <v>1972.425</v>
      </c>
      <c r="CE5">
        <f>1815.75</f>
        <v>1815.75</v>
      </c>
      <c r="CF5">
        <f>1855.686</f>
        <v>1855.6859999999999</v>
      </c>
      <c r="CG5">
        <f>1733.444</f>
        <v>1733.444</v>
      </c>
      <c r="CH5">
        <f>1687.699</f>
        <v>1687.6990000000001</v>
      </c>
      <c r="CI5">
        <f>1621.655</f>
        <v>1621.655</v>
      </c>
      <c r="CJ5">
        <f>1592.553</f>
        <v>1592.5530000000001</v>
      </c>
      <c r="CK5">
        <f>1571.648</f>
        <v>1571.6479999999999</v>
      </c>
      <c r="CL5">
        <f>1538.701</f>
        <v>1538.701</v>
      </c>
      <c r="CM5">
        <f>1462.801</f>
        <v>1462.8009999999999</v>
      </c>
      <c r="CN5">
        <f>1425.921</f>
        <v>1425.921</v>
      </c>
      <c r="CO5">
        <f>1405.64</f>
        <v>1405.64</v>
      </c>
      <c r="CP5">
        <f>1380.746</f>
        <v>1380.7460000000001</v>
      </c>
      <c r="CQ5">
        <f>1316.091</f>
        <v>1316.0909999999999</v>
      </c>
      <c r="CR5">
        <f>1295.627</f>
        <v>1295.627</v>
      </c>
      <c r="CS5">
        <f>1271.416</f>
        <v>1271.4159999999999</v>
      </c>
      <c r="CT5">
        <f>1285.493</f>
        <v>1285.4929999999999</v>
      </c>
      <c r="CU5">
        <f>1271.22</f>
        <v>1271.22</v>
      </c>
      <c r="CV5">
        <f>1323.952</f>
        <v>1323.952</v>
      </c>
      <c r="CW5">
        <f>1342.967</f>
        <v>1342.9670000000001</v>
      </c>
      <c r="CX5">
        <f>1298.1495</f>
        <v>1298.1495</v>
      </c>
      <c r="CY5">
        <f>1328.418</f>
        <v>1328.4179999999999</v>
      </c>
      <c r="CZ5">
        <f>1354.479</f>
        <v>1354.479</v>
      </c>
      <c r="DA5">
        <f>1369.528</f>
        <v>1369.528</v>
      </c>
      <c r="DB5">
        <f>1402.939</f>
        <v>1402.9390000000001</v>
      </c>
      <c r="DC5">
        <f>1375.337</f>
        <v>1375.337</v>
      </c>
      <c r="DD5">
        <f>1536.743</f>
        <v>1536.7429999999999</v>
      </c>
      <c r="DE5">
        <f>1512.7</f>
        <v>1512.7</v>
      </c>
      <c r="DF5">
        <f>1505.9925</f>
        <v>1505.9925000000001</v>
      </c>
      <c r="DG5">
        <f>1494.13</f>
        <v>1494.13</v>
      </c>
      <c r="DH5">
        <f>1483.503</f>
        <v>1483.5029999999999</v>
      </c>
      <c r="DI5">
        <f>1455.185</f>
        <v>1455.1849999999999</v>
      </c>
      <c r="DJ5">
        <f>1439.086</f>
        <v>1439.086</v>
      </c>
      <c r="DK5">
        <f>1387.649</f>
        <v>1387.6489999999999</v>
      </c>
      <c r="DL5">
        <f>1437.442</f>
        <v>1437.442</v>
      </c>
      <c r="DM5">
        <f>1380.997</f>
        <v>1380.9970000000001</v>
      </c>
      <c r="DN5">
        <f>1345.437</f>
        <v>1345.4369999999999</v>
      </c>
      <c r="DO5">
        <f>1343.621</f>
        <v>1343.6210000000001</v>
      </c>
      <c r="DP5">
        <f>1369.287</f>
        <v>1369.287</v>
      </c>
      <c r="DQ5">
        <f>1332.996</f>
        <v>1332.9960000000001</v>
      </c>
      <c r="DR5">
        <f>1291.004</f>
        <v>1291.0039999999999</v>
      </c>
      <c r="DS5">
        <f>1294.676</f>
        <v>1294.6759999999999</v>
      </c>
      <c r="DT5">
        <f>1360.543</f>
        <v>1360.5429999999999</v>
      </c>
      <c r="DU5">
        <f>1331.904</f>
        <v>1331.904</v>
      </c>
    </row>
    <row r="6" spans="1:125">
      <c r="A6" t="str">
        <f>"住宅房地产投资信托数据 - 住宅房地产投资信托同店净营业利润增长"</f>
        <v>住宅房地产投资信托数据 - 住宅房地产投资信托同店净营业利润增长</v>
      </c>
      <c r="B6" t="str">
        <f>"RECFSSRS Index"</f>
        <v>RECFSSRS Index</v>
      </c>
      <c r="C6" t="str">
        <f>"PR005"</f>
        <v>PR005</v>
      </c>
      <c r="D6" t="str">
        <f>"PX_LAST"</f>
        <v>PX_LAST</v>
      </c>
      <c r="E6" t="str">
        <f>"动态"</f>
        <v>动态</v>
      </c>
      <c r="F6">
        <f ca="1">IF(AND(ISNUMBER($F$43),$B$39=1),$F$43,HLOOKUP(INDIRECT(ADDRESS(2,COLUMN())),OFFSET($BN$2,0,0,ROW()-1,60),ROW()-1,FALSE))</f>
        <v>3.3462044870000001</v>
      </c>
      <c r="G6">
        <f ca="1">IF(AND(ISNUMBER($G$43),$B$39=1),$G$43,HLOOKUP(INDIRECT(ADDRESS(2,COLUMN())),OFFSET($BN$2,0,0,ROW()-1,60),ROW()-1,FALSE))</f>
        <v>3.5645333849999998</v>
      </c>
      <c r="H6">
        <f ca="1">IF(AND(ISNUMBER($H$43),$B$39=1),$H$43,HLOOKUP(INDIRECT(ADDRESS(2,COLUMN())),OFFSET($BN$2,0,0,ROW()-1,60),ROW()-1,FALSE))</f>
        <v>3.71620003</v>
      </c>
      <c r="I6">
        <f ca="1">IF(AND(ISNUMBER($I$43),$B$39=1),$I$43,HLOOKUP(INDIRECT(ADDRESS(2,COLUMN())),OFFSET($BN$2,0,0,ROW()-1,60),ROW()-1,FALSE))</f>
        <v>4.1112273540000004</v>
      </c>
      <c r="J6">
        <f ca="1">IF(AND(ISNUMBER($J$43),$B$39=1),$J$43,HLOOKUP(INDIRECT(ADDRESS(2,COLUMN())),OFFSET($BN$2,0,0,ROW()-1,60),ROW()-1,FALSE))</f>
        <v>4.9319453360000001</v>
      </c>
      <c r="K6">
        <f ca="1">IF(AND(ISNUMBER($K$43),$B$39=1),$K$43,HLOOKUP(INDIRECT(ADDRESS(2,COLUMN())),OFFSET($BN$2,0,0,ROW()-1,60),ROW()-1,FALSE))</f>
        <v>5.1163226990000004</v>
      </c>
      <c r="L6">
        <f ca="1">IF(AND(ISNUMBER($L$43),$B$39=1),$L$43,HLOOKUP(INDIRECT(ADDRESS(2,COLUMN())),OFFSET($BN$2,0,0,ROW()-1,60),ROW()-1,FALSE))</f>
        <v>5.6397030319999999</v>
      </c>
      <c r="M6">
        <f ca="1">IF(AND(ISNUMBER($M$43),$B$39=1),$M$43,HLOOKUP(INDIRECT(ADDRESS(2,COLUMN())),OFFSET($BN$2,0,0,ROW()-1,60),ROW()-1,FALSE))</f>
        <v>6.954329607</v>
      </c>
      <c r="N6">
        <f ca="1">IF(AND(ISNUMBER($N$43),$B$39=1),$N$43,HLOOKUP(INDIRECT(ADDRESS(2,COLUMN())),OFFSET($BN$2,0,0,ROW()-1,60),ROW()-1,FALSE))</f>
        <v>6.8374679739999999</v>
      </c>
      <c r="O6">
        <f ca="1">IF(AND(ISNUMBER($O$43),$B$39=1),$O$43,HLOOKUP(INDIRECT(ADDRESS(2,COLUMN())),OFFSET($BN$2,0,0,ROW()-1,60),ROW()-1,FALSE))</f>
        <v>6.4519201649999998</v>
      </c>
      <c r="P6">
        <f ca="1">IF(AND(ISNUMBER($P$43),$B$39=1),$P$43,HLOOKUP(INDIRECT(ADDRESS(2,COLUMN())),OFFSET($BN$2,0,0,ROW()-1,60),ROW()-1,FALSE))</f>
        <v>6.2017975950000004</v>
      </c>
      <c r="Q6">
        <f ca="1">IF(AND(ISNUMBER($Q$43),$B$39=1),$Q$43,HLOOKUP(INDIRECT(ADDRESS(2,COLUMN())),OFFSET($BN$2,0,0,ROW()-1,60),ROW()-1,FALSE))</f>
        <v>5.9172860580000002</v>
      </c>
      <c r="R6">
        <f ca="1">IF(AND(ISNUMBER($R$43),$B$39=1),$R$43,HLOOKUP(INDIRECT(ADDRESS(2,COLUMN())),OFFSET($BN$2,0,0,ROW()-1,60),ROW()-1,FALSE))</f>
        <v>5.2718136600000003</v>
      </c>
      <c r="S6">
        <f ca="1">IF(AND(ISNUMBER($S$43),$B$39=1),$S$43,HLOOKUP(INDIRECT(ADDRESS(2,COLUMN())),OFFSET($BN$2,0,0,ROW()-1,60),ROW()-1,FALSE))</f>
        <v>5.2277861559999996</v>
      </c>
      <c r="T6">
        <f ca="1">IF(AND(ISNUMBER($T$43),$B$39=1),$T$43,HLOOKUP(INDIRECT(ADDRESS(2,COLUMN())),OFFSET($BN$2,0,0,ROW()-1,60),ROW()-1,FALSE))</f>
        <v>4.4975832630000001</v>
      </c>
      <c r="U6">
        <f ca="1">IF(AND(ISNUMBER($U$43),$B$39=1),$U$43,HLOOKUP(INDIRECT(ADDRESS(2,COLUMN())),OFFSET($BN$2,0,0,ROW()-1,60),ROW()-1,FALSE))</f>
        <v>3.8404904289999999</v>
      </c>
      <c r="V6">
        <f ca="1">IF(AND(ISNUMBER($V$43),$B$39=1),$V$43,HLOOKUP(INDIRECT(ADDRESS(2,COLUMN())),OFFSET($BN$2,0,0,ROW()-1,60),ROW()-1,FALSE))</f>
        <v>4.3587436909999999</v>
      </c>
      <c r="W6">
        <f ca="1">IF(AND(ISNUMBER($W$43),$B$39=1),$W$43,HLOOKUP(INDIRECT(ADDRESS(2,COLUMN())),OFFSET($BN$2,0,0,ROW()-1,60),ROW()-1,FALSE))</f>
        <v>4.6716554969999997</v>
      </c>
      <c r="X6">
        <f ca="1">IF(AND(ISNUMBER($X$43),$B$39=1),$X$43,HLOOKUP(INDIRECT(ADDRESS(2,COLUMN())),OFFSET($BN$2,0,0,ROW()-1,60),ROW()-1,FALSE))</f>
        <v>5.321588502</v>
      </c>
      <c r="Y6">
        <f ca="1">IF(AND(ISNUMBER($Y$43),$B$39=1),$Y$43,HLOOKUP(INDIRECT(ADDRESS(2,COLUMN())),OFFSET($BN$2,0,0,ROW()-1,60),ROW()-1,FALSE))</f>
        <v>5.446350979</v>
      </c>
      <c r="Z6">
        <f ca="1">IF(AND(ISNUMBER($Z$43),$B$39=1),$Z$43,HLOOKUP(INDIRECT(ADDRESS(2,COLUMN())),OFFSET($BN$2,0,0,ROW()-1,60),ROW()-1,FALSE))</f>
        <v>6.3559575170000002</v>
      </c>
      <c r="AA6">
        <f ca="1">IF(AND(ISNUMBER($AA$43),$B$39=1),$AA$43,HLOOKUP(INDIRECT(ADDRESS(2,COLUMN())),OFFSET($BN$2,0,0,ROW()-1,60),ROW()-1,FALSE))</f>
        <v>7.2269304349999999</v>
      </c>
      <c r="AB6">
        <f ca="1">IF(AND(ISNUMBER($AB$43),$B$39=1),$AB$43,HLOOKUP(INDIRECT(ADDRESS(2,COLUMN())),OFFSET($BN$2,0,0,ROW()-1,60),ROW()-1,FALSE))</f>
        <v>6.9984410920000002</v>
      </c>
      <c r="AC6">
        <f ca="1">IF(AND(ISNUMBER($AC$43),$B$39=1),$AC$43,HLOOKUP(INDIRECT(ADDRESS(2,COLUMN())),OFFSET($BN$2,0,0,ROW()-1,60),ROW()-1,FALSE))</f>
        <v>7.79652776</v>
      </c>
      <c r="AD6">
        <f ca="1">IF(AND(ISNUMBER($AD$43),$B$39=1),$AD$43,HLOOKUP(INDIRECT(ADDRESS(2,COLUMN())),OFFSET($BN$2,0,0,ROW()-1,60),ROW()-1,FALSE))</f>
        <v>7.2653176730000002</v>
      </c>
      <c r="AE6">
        <f ca="1">IF(AND(ISNUMBER($AE$43),$B$39=1),$AE$43,HLOOKUP(INDIRECT(ADDRESS(2,COLUMN())),OFFSET($BN$2,0,0,ROW()-1,60),ROW()-1,FALSE))</f>
        <v>6.7821166750000001</v>
      </c>
      <c r="AF6">
        <f ca="1">IF(AND(ISNUMBER($AF$43),$B$39=1),$AF$43,HLOOKUP(INDIRECT(ADDRESS(2,COLUMN())),OFFSET($BN$2,0,0,ROW()-1,60),ROW()-1,FALSE))</f>
        <v>5.9587678449999997</v>
      </c>
      <c r="AG6">
        <f ca="1">IF(AND(ISNUMBER($AG$43),$B$39=1),$AG$43,HLOOKUP(INDIRECT(ADDRESS(2,COLUMN())),OFFSET($BN$2,0,0,ROW()-1,60),ROW()-1,FALSE))</f>
        <v>5.5835207630000001</v>
      </c>
      <c r="AH6">
        <f ca="1">IF(AND(ISNUMBER($AH$43),$B$39=1),$AH$43,HLOOKUP(INDIRECT(ADDRESS(2,COLUMN())),OFFSET($BN$2,0,0,ROW()-1,60),ROW()-1,FALSE))</f>
        <v>3.4122129399999999</v>
      </c>
      <c r="AI6">
        <f ca="1">IF(AND(ISNUMBER($AI$43),$B$39=1),$AI$43,HLOOKUP(INDIRECT(ADDRESS(2,COLUMN())),OFFSET($BN$2,0,0,ROW()-1,60),ROW()-1,FALSE))</f>
        <v>0.89761842199999997</v>
      </c>
      <c r="AJ6">
        <f ca="1">IF(AND(ISNUMBER($AJ$43),$B$39=1),$AJ$43,HLOOKUP(INDIRECT(ADDRESS(2,COLUMN())),OFFSET($BN$2,0,0,ROW()-1,60),ROW()-1,FALSE))</f>
        <v>-2.3419977489999999</v>
      </c>
      <c r="AK6">
        <f ca="1">IF(AND(ISNUMBER($AK$43),$B$39=1),$AK$43,HLOOKUP(INDIRECT(ADDRESS(2,COLUMN())),OFFSET($BN$2,0,0,ROW()-1,60),ROW()-1,FALSE))</f>
        <v>-5.0405734720000002</v>
      </c>
      <c r="AL6">
        <f ca="1">IF(AND(ISNUMBER($AL$43),$B$39=1),$AL$43,HLOOKUP(INDIRECT(ADDRESS(2,COLUMN())),OFFSET($BN$2,0,0,ROW()-1,60),ROW()-1,FALSE))</f>
        <v>-5.2728332929999997</v>
      </c>
      <c r="AM6">
        <f ca="1">IF(AND(ISNUMBER($AM$43),$B$39=1),$AM$43,HLOOKUP(INDIRECT(ADDRESS(2,COLUMN())),OFFSET($BN$2,0,0,ROW()-1,60),ROW()-1,FALSE))</f>
        <v>-4.3629292550000001</v>
      </c>
      <c r="AN6">
        <f ca="1">IF(AND(ISNUMBER($AN$43),$B$39=1),$AN$43,HLOOKUP(INDIRECT(ADDRESS(2,COLUMN())),OFFSET($BN$2,0,0,ROW()-1,60),ROW()-1,FALSE))</f>
        <v>-2.7178845049999998</v>
      </c>
      <c r="AO6">
        <f ca="1">IF(AND(ISNUMBER($AO$43),$B$39=1),$AO$43,HLOOKUP(INDIRECT(ADDRESS(2,COLUMN())),OFFSET($BN$2,0,0,ROW()-1,60),ROW()-1,FALSE))</f>
        <v>-0.46925983999999998</v>
      </c>
      <c r="AP6">
        <f ca="1">IF(AND(ISNUMBER($AP$43),$B$39=1),$AP$43,HLOOKUP(INDIRECT(ADDRESS(2,COLUMN())),OFFSET($BN$2,0,0,ROW()-1,60),ROW()-1,FALSE))</f>
        <v>1.974989203</v>
      </c>
      <c r="AQ6">
        <f ca="1">IF(AND(ISNUMBER($AQ$43),$B$39=1),$AQ$43,HLOOKUP(INDIRECT(ADDRESS(2,COLUMN())),OFFSET($BN$2,0,0,ROW()-1,60),ROW()-1,FALSE))</f>
        <v>2.631459736</v>
      </c>
      <c r="AR6">
        <f ca="1">IF(AND(ISNUMBER($AR$43),$B$39=1),$AR$43,HLOOKUP(INDIRECT(ADDRESS(2,COLUMN())),OFFSET($BN$2,0,0,ROW()-1,60),ROW()-1,FALSE))</f>
        <v>4.2600575809999999</v>
      </c>
      <c r="AS6">
        <f ca="1">IF(AND(ISNUMBER($AS$43),$B$39=1),$AS$43,HLOOKUP(INDIRECT(ADDRESS(2,COLUMN())),OFFSET($BN$2,0,0,ROW()-1,60),ROW()-1,FALSE))</f>
        <v>3.8066268129999998</v>
      </c>
      <c r="AT6">
        <f ca="1">IF(AND(ISNUMBER($AT$43),$B$39=1),$AT$43,HLOOKUP(INDIRECT(ADDRESS(2,COLUMN())),OFFSET($BN$2,0,0,ROW()-1,60),ROW()-1,FALSE))</f>
        <v>4.9565534250000001</v>
      </c>
      <c r="AU6">
        <f ca="1">IF(AND(ISNUMBER($AU$43),$B$39=1),$AU$43,HLOOKUP(INDIRECT(ADDRESS(2,COLUMN())),OFFSET($BN$2,0,0,ROW()-1,60),ROW()-1,FALSE))</f>
        <v>5.6298879450000001</v>
      </c>
      <c r="AV6">
        <f ca="1">IF(AND(ISNUMBER($AV$43),$B$39=1),$AV$43,HLOOKUP(INDIRECT(ADDRESS(2,COLUMN())),OFFSET($BN$2,0,0,ROW()-1,60),ROW()-1,FALSE))</f>
        <v>5.2716310130000004</v>
      </c>
      <c r="AW6">
        <f ca="1">IF(AND(ISNUMBER($AW$43),$B$39=1),$AW$43,HLOOKUP(INDIRECT(ADDRESS(2,COLUMN())),OFFSET($BN$2,0,0,ROW()-1,60),ROW()-1,FALSE))</f>
        <v>6.4298378270000001</v>
      </c>
      <c r="AX6">
        <f ca="1">IF(AND(ISNUMBER($AX$43),$B$39=1),$AX$43,HLOOKUP(INDIRECT(ADDRESS(2,COLUMN())),OFFSET($BN$2,0,0,ROW()-1,60),ROW()-1,FALSE))</f>
        <v>6.7653072759999997</v>
      </c>
      <c r="AY6">
        <f ca="1">IF(AND(ISNUMBER($AY$43),$B$39=1),$AY$43,HLOOKUP(INDIRECT(ADDRESS(2,COLUMN())),OFFSET($BN$2,0,0,ROW()-1,60),ROW()-1,FALSE))</f>
        <v>7.5311724760000001</v>
      </c>
      <c r="AZ6">
        <f ca="1">IF(AND(ISNUMBER($AZ$43),$B$39=1),$AZ$43,HLOOKUP(INDIRECT(ADDRESS(2,COLUMN())),OFFSET($BN$2,0,0,ROW()-1,60),ROW()-1,FALSE))</f>
        <v>8.0389464030000006</v>
      </c>
      <c r="BA6">
        <f ca="1">IF(AND(ISNUMBER($BA$43),$B$39=1),$BA$43,HLOOKUP(INDIRECT(ADDRESS(2,COLUMN())),OFFSET($BN$2,0,0,ROW()-1,60),ROW()-1,FALSE))</f>
        <v>7.1071261659999996</v>
      </c>
      <c r="BB6">
        <f ca="1">IF(AND(ISNUMBER($BB$43),$B$39=1),$BB$43,HLOOKUP(INDIRECT(ADDRESS(2,COLUMN())),OFFSET($BN$2,0,0,ROW()-1,60),ROW()-1,FALSE))</f>
        <v>6.7901785390000002</v>
      </c>
      <c r="BC6">
        <f ca="1">IF(AND(ISNUMBER($BC$43),$B$39=1),$BC$43,HLOOKUP(INDIRECT(ADDRESS(2,COLUMN())),OFFSET($BN$2,0,0,ROW()-1,60),ROW()-1,FALSE))</f>
        <v>4.4957354949999999</v>
      </c>
      <c r="BD6">
        <f ca="1">IF(AND(ISNUMBER($BD$43),$B$39=1),$BD$43,HLOOKUP(INDIRECT(ADDRESS(2,COLUMN())),OFFSET($BN$2,0,0,ROW()-1,60),ROW()-1,FALSE))</f>
        <v>2.8280751550000001</v>
      </c>
      <c r="BE6">
        <f ca="1">IF(AND(ISNUMBER($BE$43),$B$39=1),$BE$43,HLOOKUP(INDIRECT(ADDRESS(2,COLUMN())),OFFSET($BN$2,0,0,ROW()-1,60),ROW()-1,FALSE))</f>
        <v>1.4546739550000001</v>
      </c>
      <c r="BF6">
        <f ca="1">IF(AND(ISNUMBER($BF$43),$B$39=1),$BF$43,HLOOKUP(INDIRECT(ADDRESS(2,COLUMN())),OFFSET($BN$2,0,0,ROW()-1,60),ROW()-1,FALSE))</f>
        <v>0.31012634900000002</v>
      </c>
      <c r="BG6">
        <f ca="1">IF(AND(ISNUMBER($BG$43),$B$39=1),$BG$43,HLOOKUP(INDIRECT(ADDRESS(2,COLUMN())),OFFSET($BN$2,0,0,ROW()-1,60),ROW()-1,FALSE))</f>
        <v>-0.753548475</v>
      </c>
      <c r="BH6">
        <f ca="1">IF(AND(ISNUMBER($BH$43),$B$39=1),$BH$43,HLOOKUP(INDIRECT(ADDRESS(2,COLUMN())),OFFSET($BN$2,0,0,ROW()-1,60),ROW()-1,FALSE))</f>
        <v>-1.6327494259999999</v>
      </c>
      <c r="BI6">
        <f ca="1">IF(AND(ISNUMBER($BI$43),$B$39=1),$BI$43,HLOOKUP(INDIRECT(ADDRESS(2,COLUMN())),OFFSET($BN$2,0,0,ROW()-1,60),ROW()-1,FALSE))</f>
        <v>-1.6337791420000001</v>
      </c>
      <c r="BJ6">
        <f ca="1">IF(AND(ISNUMBER($BJ$43),$B$39=1),$BJ$43,HLOOKUP(INDIRECT(ADDRESS(2,COLUMN())),OFFSET($BN$2,0,0,ROW()-1,60),ROW()-1,FALSE))</f>
        <v>-3.5906114250000001</v>
      </c>
      <c r="BK6">
        <f ca="1">IF(AND(ISNUMBER($BK$43),$B$39=1),$BK$43,HLOOKUP(INDIRECT(ADDRESS(2,COLUMN())),OFFSET($BN$2,0,0,ROW()-1,60),ROW()-1,FALSE))</f>
        <v>-4.565061107</v>
      </c>
      <c r="BL6">
        <f ca="1">IF(AND(ISNUMBER($BL$43),$B$39=1),$BL$43,HLOOKUP(INDIRECT(ADDRESS(2,COLUMN())),OFFSET($BN$2,0,0,ROW()-1,60),ROW()-1,FALSE))</f>
        <v>-5.6301499770000003</v>
      </c>
      <c r="BM6">
        <f ca="1">IF(AND(ISNUMBER($BM$43),$B$39=1),$BM$43,HLOOKUP(INDIRECT(ADDRESS(2,COLUMN())),OFFSET($BN$2,0,0,ROW()-1,60),ROW()-1,FALSE))</f>
        <v>-7.7995528180000004</v>
      </c>
      <c r="BN6">
        <f>3.346204487</f>
        <v>3.3462044870000001</v>
      </c>
      <c r="BO6">
        <f>3.564533385</f>
        <v>3.5645333849999998</v>
      </c>
      <c r="BP6">
        <f>3.71620003</f>
        <v>3.71620003</v>
      </c>
      <c r="BQ6">
        <f>4.111227354</f>
        <v>4.1112273540000004</v>
      </c>
      <c r="BR6">
        <f>4.931945336</f>
        <v>4.9319453360000001</v>
      </c>
      <c r="BS6">
        <f>5.116322699</f>
        <v>5.1163226990000004</v>
      </c>
      <c r="BT6">
        <f>5.639703032</f>
        <v>5.6397030319999999</v>
      </c>
      <c r="BU6">
        <f>6.954329607</f>
        <v>6.954329607</v>
      </c>
      <c r="BV6">
        <f>6.837467974</f>
        <v>6.8374679739999999</v>
      </c>
      <c r="BW6">
        <f>6.451920165</f>
        <v>6.4519201649999998</v>
      </c>
      <c r="BX6">
        <f>6.201797595</f>
        <v>6.2017975950000004</v>
      </c>
      <c r="BY6">
        <f>5.917286058</f>
        <v>5.9172860580000002</v>
      </c>
      <c r="BZ6">
        <f>5.27181366</f>
        <v>5.2718136600000003</v>
      </c>
      <c r="CA6">
        <f>5.227786156</f>
        <v>5.2277861559999996</v>
      </c>
      <c r="CB6">
        <f>4.497583263</f>
        <v>4.4975832630000001</v>
      </c>
      <c r="CC6">
        <f>3.840490429</f>
        <v>3.8404904289999999</v>
      </c>
      <c r="CD6">
        <f>4.358743691</f>
        <v>4.3587436909999999</v>
      </c>
      <c r="CE6">
        <f>4.671655497</f>
        <v>4.6716554969999997</v>
      </c>
      <c r="CF6">
        <f>5.321588502</f>
        <v>5.321588502</v>
      </c>
      <c r="CG6">
        <f>5.446350979</f>
        <v>5.446350979</v>
      </c>
      <c r="CH6">
        <f>6.355957517</f>
        <v>6.3559575170000002</v>
      </c>
      <c r="CI6">
        <f>7.226930435</f>
        <v>7.2269304349999999</v>
      </c>
      <c r="CJ6">
        <f>6.998441092</f>
        <v>6.9984410920000002</v>
      </c>
      <c r="CK6">
        <f>7.79652776</f>
        <v>7.79652776</v>
      </c>
      <c r="CL6">
        <f>7.265317673</f>
        <v>7.2653176730000002</v>
      </c>
      <c r="CM6">
        <f>6.782116675</f>
        <v>6.7821166750000001</v>
      </c>
      <c r="CN6">
        <f>5.958767845</f>
        <v>5.9587678449999997</v>
      </c>
      <c r="CO6">
        <f>5.583520763</f>
        <v>5.5835207630000001</v>
      </c>
      <c r="CP6">
        <f>3.41221294</f>
        <v>3.4122129399999999</v>
      </c>
      <c r="CQ6">
        <f>0.897618422</f>
        <v>0.89761842199999997</v>
      </c>
      <c r="CR6">
        <f>-2.341997749</f>
        <v>-2.3419977489999999</v>
      </c>
      <c r="CS6">
        <f>-5.040573472</f>
        <v>-5.0405734720000002</v>
      </c>
      <c r="CT6">
        <f>-5.272833293</f>
        <v>-5.2728332929999997</v>
      </c>
      <c r="CU6">
        <f>-4.362929255</f>
        <v>-4.3629292550000001</v>
      </c>
      <c r="CV6">
        <f>-2.717884505</f>
        <v>-2.7178845049999998</v>
      </c>
      <c r="CW6">
        <f>-0.46925984</f>
        <v>-0.46925983999999998</v>
      </c>
      <c r="CX6">
        <f>1.974989203</f>
        <v>1.974989203</v>
      </c>
      <c r="CY6">
        <f>2.631459736</f>
        <v>2.631459736</v>
      </c>
      <c r="CZ6">
        <f>4.260057581</f>
        <v>4.2600575809999999</v>
      </c>
      <c r="DA6">
        <f>3.806626813</f>
        <v>3.8066268129999998</v>
      </c>
      <c r="DB6">
        <f>4.956553425</f>
        <v>4.9565534250000001</v>
      </c>
      <c r="DC6">
        <f>5.629887945</f>
        <v>5.6298879450000001</v>
      </c>
      <c r="DD6">
        <f>5.271631013</f>
        <v>5.2716310130000004</v>
      </c>
      <c r="DE6">
        <f>6.429837827</f>
        <v>6.4298378270000001</v>
      </c>
      <c r="DF6">
        <f>6.765307276</f>
        <v>6.7653072759999997</v>
      </c>
      <c r="DG6">
        <f>7.531172476</f>
        <v>7.5311724760000001</v>
      </c>
      <c r="DH6">
        <f>8.038946403</f>
        <v>8.0389464030000006</v>
      </c>
      <c r="DI6">
        <f>7.107126166</f>
        <v>7.1071261659999996</v>
      </c>
      <c r="DJ6">
        <f>6.790178539</f>
        <v>6.7901785390000002</v>
      </c>
      <c r="DK6">
        <f>4.495735495</f>
        <v>4.4957354949999999</v>
      </c>
      <c r="DL6">
        <f>2.828075155</f>
        <v>2.8280751550000001</v>
      </c>
      <c r="DM6">
        <f>1.454673955</f>
        <v>1.4546739550000001</v>
      </c>
      <c r="DN6">
        <f>0.310126349</f>
        <v>0.31012634900000002</v>
      </c>
      <c r="DO6">
        <f>-0.753548475</f>
        <v>-0.753548475</v>
      </c>
      <c r="DP6">
        <f>-1.632749426</f>
        <v>-1.6327494259999999</v>
      </c>
      <c r="DQ6">
        <f>-1.633779142</f>
        <v>-1.6337791420000001</v>
      </c>
      <c r="DR6">
        <f>-3.590611425</f>
        <v>-3.5906114250000001</v>
      </c>
      <c r="DS6">
        <f>-4.565061107</f>
        <v>-4.565061107</v>
      </c>
      <c r="DT6">
        <f>-5.630149977</f>
        <v>-5.6301499770000003</v>
      </c>
      <c r="DU6">
        <f>-7.799552818</f>
        <v>-7.7995528180000004</v>
      </c>
    </row>
    <row r="7" spans="1:125">
      <c r="A7" t="str">
        <f>"住宅房地产投资信托数据 - 住宅房地产投资信托总股利支付"</f>
        <v>住宅房地产投资信托数据 - 住宅房地产投资信托总股利支付</v>
      </c>
      <c r="B7" t="str">
        <f>"RECFTDRS Index"</f>
        <v>RECFTDRS Index</v>
      </c>
      <c r="C7" t="str">
        <f>"PR005"</f>
        <v>PR005</v>
      </c>
      <c r="D7" t="str">
        <f>"PX_LAST"</f>
        <v>PX_LAST</v>
      </c>
      <c r="E7" t="str">
        <f>"动态"</f>
        <v>动态</v>
      </c>
      <c r="F7">
        <f ca="1">IF(AND(ISNUMBER($F$44),$B$39=1),$F$44,HLOOKUP(INDIRECT(ADDRESS(2,COLUMN())),OFFSET($BN$2,0,0,ROW()-1,60),ROW()-1,FALSE))</f>
        <v>1262.0165119999999</v>
      </c>
      <c r="G7">
        <f ca="1">IF(AND(ISNUMBER($G$44),$B$39=1),$G$44,HLOOKUP(INDIRECT(ADDRESS(2,COLUMN())),OFFSET($BN$2,0,0,ROW()-1,60),ROW()-1,FALSE))</f>
        <v>1267.269</v>
      </c>
      <c r="H7">
        <f ca="1">IF(AND(ISNUMBER($H$44),$B$39=1),$H$44,HLOOKUP(INDIRECT(ADDRESS(2,COLUMN())),OFFSET($BN$2,0,0,ROW()-1,60),ROW()-1,FALSE))</f>
        <v>1217.9159999999999</v>
      </c>
      <c r="I7">
        <f ca="1">IF(AND(ISNUMBER($I$44),$B$39=1),$I$44,HLOOKUP(INDIRECT(ADDRESS(2,COLUMN())),OFFSET($BN$2,0,0,ROW()-1,60),ROW()-1,FALSE))</f>
        <v>1151.943</v>
      </c>
      <c r="J7">
        <f ca="1">IF(AND(ISNUMBER($J$44),$B$39=1),$J$44,HLOOKUP(INDIRECT(ADDRESS(2,COLUMN())),OFFSET($BN$2,0,0,ROW()-1,60),ROW()-1,FALSE))</f>
        <v>2238.2809999999999</v>
      </c>
      <c r="K7">
        <f ca="1">IF(AND(ISNUMBER($K$44),$B$39=1),$K$44,HLOOKUP(INDIRECT(ADDRESS(2,COLUMN())),OFFSET($BN$2,0,0,ROW()-1,60),ROW()-1,FALSE))</f>
        <v>1526.346</v>
      </c>
      <c r="L7">
        <f ca="1">IF(AND(ISNUMBER($L$44),$B$39=1),$L$44,HLOOKUP(INDIRECT(ADDRESS(2,COLUMN())),OFFSET($BN$2,0,0,ROW()-1,60),ROW()-1,FALSE))</f>
        <v>1090.8209999999999</v>
      </c>
      <c r="M7">
        <f ca="1">IF(AND(ISNUMBER($M$44),$B$39=1),$M$44,HLOOKUP(INDIRECT(ADDRESS(2,COLUMN())),OFFSET($BN$2,0,0,ROW()-1,60),ROW()-1,FALSE))</f>
        <v>4083.9560000000001</v>
      </c>
      <c r="N7">
        <f ca="1">IF(AND(ISNUMBER($N$44),$B$39=1),$N$44,HLOOKUP(INDIRECT(ADDRESS(2,COLUMN())),OFFSET($BN$2,0,0,ROW()-1,60),ROW()-1,FALSE))</f>
        <v>1021.991</v>
      </c>
      <c r="O7">
        <f ca="1">IF(AND(ISNUMBER($O$44),$B$39=1),$O$44,HLOOKUP(INDIRECT(ADDRESS(2,COLUMN())),OFFSET($BN$2,0,0,ROW()-1,60),ROW()-1,FALSE))</f>
        <v>1002.208</v>
      </c>
      <c r="P7">
        <f ca="1">IF(AND(ISNUMBER($P$44),$B$39=1),$P$44,HLOOKUP(INDIRECT(ADDRESS(2,COLUMN())),OFFSET($BN$2,0,0,ROW()-1,60),ROW()-1,FALSE))</f>
        <v>1066.7470000000001</v>
      </c>
      <c r="Q7">
        <f ca="1">IF(AND(ISNUMBER($Q$44),$B$39=1),$Q$44,HLOOKUP(INDIRECT(ADDRESS(2,COLUMN())),OFFSET($BN$2,0,0,ROW()-1,60),ROW()-1,FALSE))</f>
        <v>996.202</v>
      </c>
      <c r="R7">
        <f ca="1">IF(AND(ISNUMBER($R$44),$B$39=1),$R$44,HLOOKUP(INDIRECT(ADDRESS(2,COLUMN())),OFFSET($BN$2,0,0,ROW()-1,60),ROW()-1,FALSE))</f>
        <v>963.899</v>
      </c>
      <c r="S7">
        <f ca="1">IF(AND(ISNUMBER($S$44),$B$39=1),$S$44,HLOOKUP(INDIRECT(ADDRESS(2,COLUMN())),OFFSET($BN$2,0,0,ROW()-1,60),ROW()-1,FALSE))</f>
        <v>951.91700000000003</v>
      </c>
      <c r="T7">
        <f ca="1">IF(AND(ISNUMBER($T$44),$B$39=1),$T$44,HLOOKUP(INDIRECT(ADDRESS(2,COLUMN())),OFFSET($BN$2,0,0,ROW()-1,60),ROW()-1,FALSE))</f>
        <v>824.80200000000002</v>
      </c>
      <c r="U7">
        <f ca="1">IF(AND(ISNUMBER($U$44),$B$39=1),$U$44,HLOOKUP(INDIRECT(ADDRESS(2,COLUMN())),OFFSET($BN$2,0,0,ROW()-1,60),ROW()-1,FALSE))</f>
        <v>956.75900000000001</v>
      </c>
      <c r="V7">
        <f ca="1">IF(AND(ISNUMBER($V$44),$B$39=1),$V$44,HLOOKUP(INDIRECT(ADDRESS(2,COLUMN())),OFFSET($BN$2,0,0,ROW()-1,60),ROW()-1,FALSE))</f>
        <v>812.40300000000002</v>
      </c>
      <c r="W7">
        <f ca="1">IF(AND(ISNUMBER($W$44),$B$39=1),$W$44,HLOOKUP(INDIRECT(ADDRESS(2,COLUMN())),OFFSET($BN$2,0,0,ROW()-1,60),ROW()-1,FALSE))</f>
        <v>784.28700000000003</v>
      </c>
      <c r="X7">
        <f ca="1">IF(AND(ISNUMBER($X$44),$B$39=1),$X$44,HLOOKUP(INDIRECT(ADDRESS(2,COLUMN())),OFFSET($BN$2,0,0,ROW()-1,60),ROW()-1,FALSE))</f>
        <v>774.10599999999999</v>
      </c>
      <c r="Y7">
        <f ca="1">IF(AND(ISNUMBER($Y$44),$B$39=1),$Y$44,HLOOKUP(INDIRECT(ADDRESS(2,COLUMN())),OFFSET($BN$2,0,0,ROW()-1,60),ROW()-1,FALSE))</f>
        <v>814.28399999999999</v>
      </c>
      <c r="Z7">
        <f ca="1">IF(AND(ISNUMBER($Z$44),$B$39=1),$Z$44,HLOOKUP(INDIRECT(ADDRESS(2,COLUMN())),OFFSET($BN$2,0,0,ROW()-1,60),ROW()-1,FALSE))</f>
        <v>674.13699999999994</v>
      </c>
      <c r="AA7">
        <f ca="1">IF(AND(ISNUMBER($AA$44),$B$39=1),$AA$44,HLOOKUP(INDIRECT(ADDRESS(2,COLUMN())),OFFSET($BN$2,0,0,ROW()-1,60),ROW()-1,FALSE))</f>
        <v>639.63300000000004</v>
      </c>
      <c r="AB7">
        <f ca="1">IF(AND(ISNUMBER($AB$44),$B$39=1),$AB$44,HLOOKUP(INDIRECT(ADDRESS(2,COLUMN())),OFFSET($BN$2,0,0,ROW()-1,60),ROW()-1,FALSE))</f>
        <v>623.61099999999999</v>
      </c>
      <c r="AC7">
        <f ca="1">IF(AND(ISNUMBER($AC$44),$B$39=1),$AC$44,HLOOKUP(INDIRECT(ADDRESS(2,COLUMN())),OFFSET($BN$2,0,0,ROW()-1,60),ROW()-1,FALSE))</f>
        <v>661.76400000000001</v>
      </c>
      <c r="AD7">
        <f ca="1">IF(AND(ISNUMBER($AD$44),$B$39=1),$AD$44,HLOOKUP(INDIRECT(ADDRESS(2,COLUMN())),OFFSET($BN$2,0,0,ROW()-1,60),ROW()-1,FALSE))</f>
        <v>564.46199999999999</v>
      </c>
      <c r="AE7">
        <f ca="1">IF(AND(ISNUMBER($AE$44),$B$39=1),$AE$44,HLOOKUP(INDIRECT(ADDRESS(2,COLUMN())),OFFSET($BN$2,0,0,ROW()-1,60),ROW()-1,FALSE))</f>
        <v>551.97500000000002</v>
      </c>
      <c r="AF7">
        <f ca="1">IF(AND(ISNUMBER($AF$44),$B$39=1),$AF$44,HLOOKUP(INDIRECT(ADDRESS(2,COLUMN())),OFFSET($BN$2,0,0,ROW()-1,60),ROW()-1,FALSE))</f>
        <v>525.04200000000003</v>
      </c>
      <c r="AG7">
        <f ca="1">IF(AND(ISNUMBER($AG$44),$B$39=1),$AG$44,HLOOKUP(INDIRECT(ADDRESS(2,COLUMN())),OFFSET($BN$2,0,0,ROW()-1,60),ROW()-1,FALSE))</f>
        <v>544.89700000000005</v>
      </c>
      <c r="AH7">
        <f ca="1">IF(AND(ISNUMBER($AH$44),$B$39=1),$AH$44,HLOOKUP(INDIRECT(ADDRESS(2,COLUMN())),OFFSET($BN$2,0,0,ROW()-1,60),ROW()-1,FALSE))</f>
        <v>495.00099999999998</v>
      </c>
      <c r="AI7">
        <f ca="1">IF(AND(ISNUMBER($AI$44),$B$39=1),$AI$44,HLOOKUP(INDIRECT(ADDRESS(2,COLUMN())),OFFSET($BN$2,0,0,ROW()-1,60),ROW()-1,FALSE))</f>
        <v>489.94799999999998</v>
      </c>
      <c r="AJ7">
        <f ca="1">IF(AND(ISNUMBER($AJ$44),$B$39=1),$AJ$44,HLOOKUP(INDIRECT(ADDRESS(2,COLUMN())),OFFSET($BN$2,0,0,ROW()-1,60),ROW()-1,FALSE))</f>
        <v>485.04599999999999</v>
      </c>
      <c r="AK7">
        <f ca="1">IF(AND(ISNUMBER($AK$44),$B$39=1),$AK$44,HLOOKUP(INDIRECT(ADDRESS(2,COLUMN())),OFFSET($BN$2,0,0,ROW()-1,60),ROW()-1,FALSE))</f>
        <v>468.86</v>
      </c>
      <c r="AL7">
        <f ca="1">IF(AND(ISNUMBER($AL$44),$B$39=1),$AL$44,HLOOKUP(INDIRECT(ADDRESS(2,COLUMN())),OFFSET($BN$2,0,0,ROW()-1,60),ROW()-1,FALSE))</f>
        <v>482.54599999999999</v>
      </c>
      <c r="AM7">
        <f ca="1">IF(AND(ISNUMBER($AM$44),$B$39=1),$AM$44,HLOOKUP(INDIRECT(ADDRESS(2,COLUMN())),OFFSET($BN$2,0,0,ROW()-1,60),ROW()-1,FALSE))</f>
        <v>510.69400000000002</v>
      </c>
      <c r="AN7">
        <f ca="1">IF(AND(ISNUMBER($AN$44),$B$39=1),$AN$44,HLOOKUP(INDIRECT(ADDRESS(2,COLUMN())),OFFSET($BN$2,0,0,ROW()-1,60),ROW()-1,FALSE))</f>
        <v>549.096</v>
      </c>
      <c r="AO7">
        <f ca="1">IF(AND(ISNUMBER($AO$44),$B$39=1),$AO$44,HLOOKUP(INDIRECT(ADDRESS(2,COLUMN())),OFFSET($BN$2,0,0,ROW()-1,60),ROW()-1,FALSE))</f>
        <v>635.30899999999997</v>
      </c>
      <c r="AP7">
        <f ca="1">IF(AND(ISNUMBER($AP$44),$B$39=1),$AP$44,HLOOKUP(INDIRECT(ADDRESS(2,COLUMN())),OFFSET($BN$2,0,0,ROW()-1,60),ROW()-1,FALSE))</f>
        <v>706.91849999999999</v>
      </c>
      <c r="AQ7">
        <f ca="1">IF(AND(ISNUMBER($AQ$44),$B$39=1),$AQ$44,HLOOKUP(INDIRECT(ADDRESS(2,COLUMN())),OFFSET($BN$2,0,0,ROW()-1,60),ROW()-1,FALSE))</f>
        <v>693.24900000000002</v>
      </c>
      <c r="AR7">
        <f ca="1">IF(AND(ISNUMBER($AR$44),$B$39=1),$AR$44,HLOOKUP(INDIRECT(ADDRESS(2,COLUMN())),OFFSET($BN$2,0,0,ROW()-1,60),ROW()-1,FALSE))</f>
        <v>664.80499999999995</v>
      </c>
      <c r="AS7">
        <f ca="1">IF(AND(ISNUMBER($AS$44),$B$39=1),$AS$44,HLOOKUP(INDIRECT(ADDRESS(2,COLUMN())),OFFSET($BN$2,0,0,ROW()-1,60),ROW()-1,FALSE))</f>
        <v>644.01499999999999</v>
      </c>
      <c r="AT7">
        <f ca="1">IF(AND(ISNUMBER($AT$44),$B$39=1),$AT$44,HLOOKUP(INDIRECT(ADDRESS(2,COLUMN())),OFFSET($BN$2,0,0,ROW()-1,60),ROW()-1,FALSE))</f>
        <v>725.55</v>
      </c>
      <c r="AU7">
        <f ca="1">IF(AND(ISNUMBER($AU$44),$B$39=1),$AU$44,HLOOKUP(INDIRECT(ADDRESS(2,COLUMN())),OFFSET($BN$2,0,0,ROW()-1,60),ROW()-1,FALSE))</f>
        <v>662.58799999999997</v>
      </c>
      <c r="AV7">
        <f ca="1">IF(AND(ISNUMBER($AV$44),$B$39=1),$AV$44,HLOOKUP(INDIRECT(ADDRESS(2,COLUMN())),OFFSET($BN$2,0,0,ROW()-1,60),ROW()-1,FALSE))</f>
        <v>738.89700000000005</v>
      </c>
      <c r="AW7">
        <f ca="1">IF(AND(ISNUMBER($AW$44),$B$39=1),$AW$44,HLOOKUP(INDIRECT(ADDRESS(2,COLUMN())),OFFSET($BN$2,0,0,ROW()-1,60),ROW()-1,FALSE))</f>
        <v>775.27499999999998</v>
      </c>
      <c r="AX7">
        <f ca="1">IF(AND(ISNUMBER($AX$44),$B$39=1),$AX$44,HLOOKUP(INDIRECT(ADDRESS(2,COLUMN())),OFFSET($BN$2,0,0,ROW()-1,60),ROW()-1,FALSE))</f>
        <v>698.904</v>
      </c>
      <c r="AY7">
        <f ca="1">IF(AND(ISNUMBER($AY$44),$B$39=1),$AY$44,HLOOKUP(INDIRECT(ADDRESS(2,COLUMN())),OFFSET($BN$2,0,0,ROW()-1,60),ROW()-1,FALSE))</f>
        <v>711.34799999999996</v>
      </c>
      <c r="AZ7">
        <f ca="1">IF(AND(ISNUMBER($AZ$44),$B$39=1),$AZ$44,HLOOKUP(INDIRECT(ADDRESS(2,COLUMN())),OFFSET($BN$2,0,0,ROW()-1,60),ROW()-1,FALSE))</f>
        <v>721.149</v>
      </c>
      <c r="BA7">
        <f ca="1">IF(AND(ISNUMBER($BA$44),$B$39=1),$BA$44,HLOOKUP(INDIRECT(ADDRESS(2,COLUMN())),OFFSET($BN$2,0,0,ROW()-1,60),ROW()-1,FALSE))</f>
        <v>705.702</v>
      </c>
      <c r="BB7">
        <f ca="1">IF(AND(ISNUMBER($BB$44),$B$39=1),$BB$44,HLOOKUP(INDIRECT(ADDRESS(2,COLUMN())),OFFSET($BN$2,0,0,ROW()-1,60),ROW()-1,FALSE))</f>
        <v>702.67</v>
      </c>
      <c r="BC7">
        <f ca="1">IF(AND(ISNUMBER($BC$44),$B$39=1),$BC$44,HLOOKUP(INDIRECT(ADDRESS(2,COLUMN())),OFFSET($BN$2,0,0,ROW()-1,60),ROW()-1,FALSE))</f>
        <v>723.19200000000001</v>
      </c>
      <c r="BD7">
        <f ca="1">IF(AND(ISNUMBER($BD$44),$B$39=1),$BD$44,HLOOKUP(INDIRECT(ADDRESS(2,COLUMN())),OFFSET($BN$2,0,0,ROW()-1,60),ROW()-1,FALSE))</f>
        <v>707.66200000000003</v>
      </c>
      <c r="BE7">
        <f ca="1">IF(AND(ISNUMBER($BE$44),$B$39=1),$BE$44,HLOOKUP(INDIRECT(ADDRESS(2,COLUMN())),OFFSET($BN$2,0,0,ROW()-1,60),ROW()-1,FALSE))</f>
        <v>744.84</v>
      </c>
      <c r="BF7">
        <f ca="1">IF(AND(ISNUMBER($BF$44),$B$39=1),$BF$44,HLOOKUP(INDIRECT(ADDRESS(2,COLUMN())),OFFSET($BN$2,0,0,ROW()-1,60),ROW()-1,FALSE))</f>
        <v>949.76199999999994</v>
      </c>
      <c r="BG7">
        <f ca="1">IF(AND(ISNUMBER($BG$44),$B$39=1),$BG$44,HLOOKUP(INDIRECT(ADDRESS(2,COLUMN())),OFFSET($BN$2,0,0,ROW()-1,60),ROW()-1,FALSE))</f>
        <v>737.65499999999997</v>
      </c>
      <c r="BH7">
        <f ca="1">IF(AND(ISNUMBER($BH$44),$B$39=1),$BH$44,HLOOKUP(INDIRECT(ADDRESS(2,COLUMN())),OFFSET($BN$2,0,0,ROW()-1,60),ROW()-1,FALSE))</f>
        <v>743.73900000000003</v>
      </c>
      <c r="BI7">
        <f ca="1">IF(AND(ISNUMBER($BI$44),$B$39=1),$BI$44,HLOOKUP(INDIRECT(ADDRESS(2,COLUMN())),OFFSET($BN$2,0,0,ROW()-1,60),ROW()-1,FALSE))</f>
        <v>929.78300000000002</v>
      </c>
      <c r="BJ7">
        <f ca="1">IF(AND(ISNUMBER($BJ$44),$B$39=1),$BJ$44,HLOOKUP(INDIRECT(ADDRESS(2,COLUMN())),OFFSET($BN$2,0,0,ROW()-1,60),ROW()-1,FALSE))</f>
        <v>814.67499999999995</v>
      </c>
      <c r="BK7">
        <f ca="1">IF(AND(ISNUMBER($BK$44),$B$39=1),$BK$44,HLOOKUP(INDIRECT(ADDRESS(2,COLUMN())),OFFSET($BN$2,0,0,ROW()-1,60),ROW()-1,FALSE))</f>
        <v>724.26700000000005</v>
      </c>
      <c r="BL7">
        <f ca="1">IF(AND(ISNUMBER($BL$44),$B$39=1),$BL$44,HLOOKUP(INDIRECT(ADDRESS(2,COLUMN())),OFFSET($BN$2,0,0,ROW()-1,60),ROW()-1,FALSE))</f>
        <v>742.005</v>
      </c>
      <c r="BM7">
        <f ca="1">IF(AND(ISNUMBER($BM$44),$B$39=1),$BM$44,HLOOKUP(INDIRECT(ADDRESS(2,COLUMN())),OFFSET($BN$2,0,0,ROW()-1,60),ROW()-1,FALSE))</f>
        <v>751.476</v>
      </c>
      <c r="BN7">
        <f>1262.016512</f>
        <v>1262.0165119999999</v>
      </c>
      <c r="BO7">
        <f>1267.269</f>
        <v>1267.269</v>
      </c>
      <c r="BP7">
        <f>1217.916</f>
        <v>1217.9159999999999</v>
      </c>
      <c r="BQ7">
        <f>1151.943</f>
        <v>1151.943</v>
      </c>
      <c r="BR7">
        <f>2238.281</f>
        <v>2238.2809999999999</v>
      </c>
      <c r="BS7">
        <f>1526.346</f>
        <v>1526.346</v>
      </c>
      <c r="BT7">
        <f>1090.821</f>
        <v>1090.8209999999999</v>
      </c>
      <c r="BU7">
        <f>4083.956</f>
        <v>4083.9560000000001</v>
      </c>
      <c r="BV7">
        <f>1021.991</f>
        <v>1021.991</v>
      </c>
      <c r="BW7">
        <f>1002.208</f>
        <v>1002.208</v>
      </c>
      <c r="BX7">
        <f>1066.747</f>
        <v>1066.7470000000001</v>
      </c>
      <c r="BY7">
        <f>996.202</f>
        <v>996.202</v>
      </c>
      <c r="BZ7">
        <f>963.899</f>
        <v>963.899</v>
      </c>
      <c r="CA7">
        <f>951.917</f>
        <v>951.91700000000003</v>
      </c>
      <c r="CB7">
        <f>824.802</f>
        <v>824.80200000000002</v>
      </c>
      <c r="CC7">
        <f>956.759</f>
        <v>956.75900000000001</v>
      </c>
      <c r="CD7">
        <f>812.403</f>
        <v>812.40300000000002</v>
      </c>
      <c r="CE7">
        <f>784.287</f>
        <v>784.28700000000003</v>
      </c>
      <c r="CF7">
        <f>774.106</f>
        <v>774.10599999999999</v>
      </c>
      <c r="CG7">
        <f>814.284</f>
        <v>814.28399999999999</v>
      </c>
      <c r="CH7">
        <f>674.137</f>
        <v>674.13699999999994</v>
      </c>
      <c r="CI7">
        <f>639.633</f>
        <v>639.63300000000004</v>
      </c>
      <c r="CJ7">
        <f>623.611</f>
        <v>623.61099999999999</v>
      </c>
      <c r="CK7">
        <f>661.764</f>
        <v>661.76400000000001</v>
      </c>
      <c r="CL7">
        <f>564.462</f>
        <v>564.46199999999999</v>
      </c>
      <c r="CM7">
        <f>551.975</f>
        <v>551.97500000000002</v>
      </c>
      <c r="CN7">
        <f>525.042</f>
        <v>525.04200000000003</v>
      </c>
      <c r="CO7">
        <f>544.897</f>
        <v>544.89700000000005</v>
      </c>
      <c r="CP7">
        <f>495.001</f>
        <v>495.00099999999998</v>
      </c>
      <c r="CQ7">
        <f>489.948</f>
        <v>489.94799999999998</v>
      </c>
      <c r="CR7">
        <f>485.046</f>
        <v>485.04599999999999</v>
      </c>
      <c r="CS7">
        <f>468.86</f>
        <v>468.86</v>
      </c>
      <c r="CT7">
        <f>482.546</f>
        <v>482.54599999999999</v>
      </c>
      <c r="CU7">
        <f>510.694</f>
        <v>510.69400000000002</v>
      </c>
      <c r="CV7">
        <f>549.096</f>
        <v>549.096</v>
      </c>
      <c r="CW7">
        <f>635.309</f>
        <v>635.30899999999997</v>
      </c>
      <c r="CX7">
        <f>706.9185</f>
        <v>706.91849999999999</v>
      </c>
      <c r="CY7">
        <f>693.249</f>
        <v>693.24900000000002</v>
      </c>
      <c r="CZ7">
        <f>664.805</f>
        <v>664.80499999999995</v>
      </c>
      <c r="DA7">
        <f>644.015</f>
        <v>644.01499999999999</v>
      </c>
      <c r="DB7">
        <f>725.55</f>
        <v>725.55</v>
      </c>
      <c r="DC7">
        <f>662.588</f>
        <v>662.58799999999997</v>
      </c>
      <c r="DD7">
        <f>738.897</f>
        <v>738.89700000000005</v>
      </c>
      <c r="DE7">
        <f>775.275</f>
        <v>775.27499999999998</v>
      </c>
      <c r="DF7">
        <f>698.904</f>
        <v>698.904</v>
      </c>
      <c r="DG7">
        <f>711.348</f>
        <v>711.34799999999996</v>
      </c>
      <c r="DH7">
        <f>721.149</f>
        <v>721.149</v>
      </c>
      <c r="DI7">
        <f>705.702</f>
        <v>705.702</v>
      </c>
      <c r="DJ7">
        <f>702.67</f>
        <v>702.67</v>
      </c>
      <c r="DK7">
        <f>723.192</f>
        <v>723.19200000000001</v>
      </c>
      <c r="DL7">
        <f>707.662</f>
        <v>707.66200000000003</v>
      </c>
      <c r="DM7">
        <f>744.84</f>
        <v>744.84</v>
      </c>
      <c r="DN7">
        <f>949.762</f>
        <v>949.76199999999994</v>
      </c>
      <c r="DO7">
        <f>737.655</f>
        <v>737.65499999999997</v>
      </c>
      <c r="DP7">
        <f>743.739</f>
        <v>743.73900000000003</v>
      </c>
      <c r="DQ7">
        <f>929.783</f>
        <v>929.78300000000002</v>
      </c>
      <c r="DR7">
        <f>814.675</f>
        <v>814.67499999999995</v>
      </c>
      <c r="DS7">
        <f>724.267</f>
        <v>724.26700000000005</v>
      </c>
      <c r="DT7">
        <f>742.005</f>
        <v>742.005</v>
      </c>
      <c r="DU7">
        <f>751.476</f>
        <v>751.476</v>
      </c>
    </row>
    <row r="8" spans="1:125">
      <c r="A8" t="str">
        <f>"公寓房地产投资信托数据"</f>
        <v>公寓房地产投资信托数据</v>
      </c>
      <c r="B8" t="str">
        <f>""</f>
        <v/>
      </c>
      <c r="E8" t="str">
        <f>"静态"</f>
        <v>静态</v>
      </c>
      <c r="F8" t="str">
        <f t="shared" ref="F8:AK8" ca="1" si="0">HLOOKUP(INDIRECT(ADDRESS(2,COLUMN())),OFFSET($BN$2,0,0,ROW()-1,60),ROW()-1,FALSE)</f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0"/>
        <v/>
      </c>
      <c r="R8" t="str">
        <f t="shared" ca="1" si="0"/>
        <v/>
      </c>
      <c r="S8" t="str">
        <f t="shared" ca="1" si="0"/>
        <v/>
      </c>
      <c r="T8" t="str">
        <f t="shared" ca="1" si="0"/>
        <v/>
      </c>
      <c r="U8" t="str">
        <f t="shared" ca="1" si="0"/>
        <v/>
      </c>
      <c r="V8" t="str">
        <f t="shared" ca="1" si="0"/>
        <v/>
      </c>
      <c r="W8" t="str">
        <f t="shared" ca="1" si="0"/>
        <v/>
      </c>
      <c r="X8" t="str">
        <f t="shared" ca="1" si="0"/>
        <v/>
      </c>
      <c r="Y8" t="str">
        <f t="shared" ca="1" si="0"/>
        <v/>
      </c>
      <c r="Z8" t="str">
        <f t="shared" ca="1" si="0"/>
        <v/>
      </c>
      <c r="AA8" t="str">
        <f t="shared" ca="1" si="0"/>
        <v/>
      </c>
      <c r="AB8" t="str">
        <f t="shared" ca="1" si="0"/>
        <v/>
      </c>
      <c r="AC8" t="str">
        <f t="shared" ca="1" si="0"/>
        <v/>
      </c>
      <c r="AD8" t="str">
        <f t="shared" ca="1" si="0"/>
        <v/>
      </c>
      <c r="AE8" t="str">
        <f t="shared" ca="1" si="0"/>
        <v/>
      </c>
      <c r="AF8" t="str">
        <f t="shared" ca="1" si="0"/>
        <v/>
      </c>
      <c r="AG8" t="str">
        <f t="shared" ca="1" si="0"/>
        <v/>
      </c>
      <c r="AH8" t="str">
        <f t="shared" ca="1" si="0"/>
        <v/>
      </c>
      <c r="AI8" t="str">
        <f t="shared" ca="1" si="0"/>
        <v/>
      </c>
      <c r="AJ8" t="str">
        <f t="shared" ca="1" si="0"/>
        <v/>
      </c>
      <c r="AK8" t="str">
        <f t="shared" ca="1" si="0"/>
        <v/>
      </c>
      <c r="AL8" t="str">
        <f t="shared" ref="AL8:BM8" ca="1" si="1">HLOOKUP(INDIRECT(ADDRESS(2,COLUMN())),OFFSET($BN$2,0,0,ROW()-1,60),ROW()-1,FALSE)</f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  <c r="BE8" t="str">
        <f t="shared" ca="1" si="1"/>
        <v/>
      </c>
      <c r="BF8" t="str">
        <f t="shared" ca="1" si="1"/>
        <v/>
      </c>
      <c r="BG8" t="str">
        <f t="shared" ca="1" si="1"/>
        <v/>
      </c>
      <c r="BH8" t="str">
        <f t="shared" ca="1" si="1"/>
        <v/>
      </c>
      <c r="BI8" t="str">
        <f t="shared" ca="1" si="1"/>
        <v/>
      </c>
      <c r="BJ8" t="str">
        <f t="shared" ca="1" si="1"/>
        <v/>
      </c>
      <c r="BK8" t="str">
        <f t="shared" ca="1" si="1"/>
        <v/>
      </c>
      <c r="BL8" t="str">
        <f t="shared" ca="1" si="1"/>
        <v/>
      </c>
      <c r="BM8" t="str">
        <f t="shared" ca="1" si="1"/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  <c r="CH8" t="str">
        <f>""</f>
        <v/>
      </c>
      <c r="CI8" t="str">
        <f>""</f>
        <v/>
      </c>
      <c r="CJ8" t="str">
        <f>""</f>
        <v/>
      </c>
      <c r="CK8" t="str">
        <f>""</f>
        <v/>
      </c>
      <c r="CL8" t="str">
        <f>""</f>
        <v/>
      </c>
      <c r="CM8" t="str">
        <f>""</f>
        <v/>
      </c>
      <c r="CN8" t="str">
        <f>""</f>
        <v/>
      </c>
      <c r="CO8" t="str">
        <f>""</f>
        <v/>
      </c>
      <c r="CP8" t="str">
        <f>""</f>
        <v/>
      </c>
      <c r="CQ8" t="str">
        <f>""</f>
        <v/>
      </c>
      <c r="CR8" t="str">
        <f>""</f>
        <v/>
      </c>
      <c r="CS8" t="str">
        <f>""</f>
        <v/>
      </c>
      <c r="CT8" t="str">
        <f>""</f>
        <v/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>
      <c r="A9" t="str">
        <f>"    公寓房地产投资信托总营运现金流"</f>
        <v xml:space="preserve">    公寓房地产投资信托总营运现金流</v>
      </c>
      <c r="B9" t="str">
        <f>"RECFFOAP Index"</f>
        <v>RECFFOAP Index</v>
      </c>
      <c r="C9" t="str">
        <f>"PR005"</f>
        <v>PR005</v>
      </c>
      <c r="D9" t="str">
        <f>"PX_LAST"</f>
        <v>PX_LAST</v>
      </c>
      <c r="E9" t="str">
        <f>"动态"</f>
        <v>动态</v>
      </c>
      <c r="F9">
        <f ca="1">IF(AND(ISNUMBER($F$45),$B$39=1),$F$45,HLOOKUP(INDIRECT(ADDRESS(2,COLUMN())),OFFSET($BN$2,0,0,ROW()-1,60),ROW()-1,FALSE))</f>
        <v>1504.492667</v>
      </c>
      <c r="G9">
        <f ca="1">IF(AND(ISNUMBER($G$45),$B$39=1),$G$45,HLOOKUP(INDIRECT(ADDRESS(2,COLUMN())),OFFSET($BN$2,0,0,ROW()-1,60),ROW()-1,FALSE))</f>
        <v>1462.5350000000001</v>
      </c>
      <c r="H9">
        <f ca="1">IF(AND(ISNUMBER($H$45),$B$39=1),$H$45,HLOOKUP(INDIRECT(ADDRESS(2,COLUMN())),OFFSET($BN$2,0,0,ROW()-1,60),ROW()-1,FALSE))</f>
        <v>1396.325</v>
      </c>
      <c r="I9">
        <f ca="1">IF(AND(ISNUMBER($I$45),$B$39=1),$I$45,HLOOKUP(INDIRECT(ADDRESS(2,COLUMN())),OFFSET($BN$2,0,0,ROW()-1,60),ROW()-1,FALSE))</f>
        <v>1435.0440000000001</v>
      </c>
      <c r="J9">
        <f ca="1">IF(AND(ISNUMBER($J$45),$B$39=1),$J$45,HLOOKUP(INDIRECT(ADDRESS(2,COLUMN())),OFFSET($BN$2,0,0,ROW()-1,60),ROW()-1,FALSE))</f>
        <v>1343.585</v>
      </c>
      <c r="K9">
        <f ca="1">IF(AND(ISNUMBER($K$45),$B$39=1),$K$45,HLOOKUP(INDIRECT(ADDRESS(2,COLUMN())),OFFSET($BN$2,0,0,ROW()-1,60),ROW()-1,FALSE))</f>
        <v>1378.521</v>
      </c>
      <c r="L9">
        <f ca="1">IF(AND(ISNUMBER($L$45),$B$39=1),$L$45,HLOOKUP(INDIRECT(ADDRESS(2,COLUMN())),OFFSET($BN$2,0,0,ROW()-1,60),ROW()-1,FALSE))</f>
        <v>1435.962</v>
      </c>
      <c r="M9">
        <f ca="1">IF(AND(ISNUMBER($M$45),$B$39=1),$M$45,HLOOKUP(INDIRECT(ADDRESS(2,COLUMN())),OFFSET($BN$2,0,0,ROW()-1,60),ROW()-1,FALSE))</f>
        <v>1269.0440000000001</v>
      </c>
      <c r="N9">
        <f ca="1">IF(AND(ISNUMBER($N$45),$B$39=1),$N$45,HLOOKUP(INDIRECT(ADDRESS(2,COLUMN())),OFFSET($BN$2,0,0,ROW()-1,60),ROW()-1,FALSE))</f>
        <v>1424.223</v>
      </c>
      <c r="O9">
        <f ca="1">IF(AND(ISNUMBER($O$45),$B$39=1),$O$45,HLOOKUP(INDIRECT(ADDRESS(2,COLUMN())),OFFSET($BN$2,0,0,ROW()-1,60),ROW()-1,FALSE))</f>
        <v>1354.9079999999999</v>
      </c>
      <c r="P9">
        <f ca="1">IF(AND(ISNUMBER($P$45),$B$39=1),$P$45,HLOOKUP(INDIRECT(ADDRESS(2,COLUMN())),OFFSET($BN$2,0,0,ROW()-1,60),ROW()-1,FALSE))</f>
        <v>1471.915</v>
      </c>
      <c r="Q9">
        <f ca="1">IF(AND(ISNUMBER($Q$45),$B$39=1),$Q$45,HLOOKUP(INDIRECT(ADDRESS(2,COLUMN())),OFFSET($BN$2,0,0,ROW()-1,60),ROW()-1,FALSE))</f>
        <v>1366.0319999999999</v>
      </c>
      <c r="R9">
        <f ca="1">IF(AND(ISNUMBER($R$45),$B$39=1),$R$45,HLOOKUP(INDIRECT(ADDRESS(2,COLUMN())),OFFSET($BN$2,0,0,ROW()-1,60),ROW()-1,FALSE))</f>
        <v>1331.867</v>
      </c>
      <c r="S9">
        <f ca="1">IF(AND(ISNUMBER($S$45),$B$39=1),$S$45,HLOOKUP(INDIRECT(ADDRESS(2,COLUMN())),OFFSET($BN$2,0,0,ROW()-1,60),ROW()-1,FALSE))</f>
        <v>1186.0740000000001</v>
      </c>
      <c r="T9">
        <f ca="1">IF(AND(ISNUMBER($T$45),$B$39=1),$T$45,HLOOKUP(INDIRECT(ADDRESS(2,COLUMN())),OFFSET($BN$2,0,0,ROW()-1,60),ROW()-1,FALSE))</f>
        <v>1207.511</v>
      </c>
      <c r="U9">
        <f ca="1">IF(AND(ISNUMBER($U$45),$B$39=1),$U$45,HLOOKUP(INDIRECT(ADDRESS(2,COLUMN())),OFFSET($BN$2,0,0,ROW()-1,60),ROW()-1,FALSE))</f>
        <v>1126.8969999999999</v>
      </c>
      <c r="V9">
        <f ca="1">IF(AND(ISNUMBER($V$45),$B$39=1),$V$45,HLOOKUP(INDIRECT(ADDRESS(2,COLUMN())),OFFSET($BN$2,0,0,ROW()-1,60),ROW()-1,FALSE))</f>
        <v>1172.95</v>
      </c>
      <c r="W9">
        <f ca="1">IF(AND(ISNUMBER($W$45),$B$39=1),$W$45,HLOOKUP(INDIRECT(ADDRESS(2,COLUMN())),OFFSET($BN$2,0,0,ROW()-1,60),ROW()-1,FALSE))</f>
        <v>1054.115</v>
      </c>
      <c r="X9">
        <f ca="1">IF(AND(ISNUMBER($X$45),$B$39=1),$X$45,HLOOKUP(INDIRECT(ADDRESS(2,COLUMN())),OFFSET($BN$2,0,0,ROW()-1,60),ROW()-1,FALSE))</f>
        <v>1147.1880000000001</v>
      </c>
      <c r="Y9">
        <f ca="1">IF(AND(ISNUMBER($Y$45),$B$39=1),$Y$45,HLOOKUP(INDIRECT(ADDRESS(2,COLUMN())),OFFSET($BN$2,0,0,ROW()-1,60),ROW()-1,FALSE))</f>
        <v>844.13800000000003</v>
      </c>
      <c r="Z9">
        <f ca="1">IF(AND(ISNUMBER($Z$45),$B$39=1),$Z$45,HLOOKUP(INDIRECT(ADDRESS(2,COLUMN())),OFFSET($BN$2,0,0,ROW()-1,60),ROW()-1,FALSE))</f>
        <v>1057.367</v>
      </c>
      <c r="AA9">
        <f ca="1">IF(AND(ISNUMBER($AA$45),$B$39=1),$AA$45,HLOOKUP(INDIRECT(ADDRESS(2,COLUMN())),OFFSET($BN$2,0,0,ROW()-1,60),ROW()-1,FALSE))</f>
        <v>1002.796</v>
      </c>
      <c r="AB9">
        <f ca="1">IF(AND(ISNUMBER($AB$45),$B$39=1),$AB$45,HLOOKUP(INDIRECT(ADDRESS(2,COLUMN())),OFFSET($BN$2,0,0,ROW()-1,60),ROW()-1,FALSE))</f>
        <v>892.86</v>
      </c>
      <c r="AC9">
        <f ca="1">IF(AND(ISNUMBER($AC$45),$B$39=1),$AC$45,HLOOKUP(INDIRECT(ADDRESS(2,COLUMN())),OFFSET($BN$2,0,0,ROW()-1,60),ROW()-1,FALSE))</f>
        <v>878.60400000000004</v>
      </c>
      <c r="AD9">
        <f ca="1">IF(AND(ISNUMBER($AD$45),$B$39=1),$AD$45,HLOOKUP(INDIRECT(ADDRESS(2,COLUMN())),OFFSET($BN$2,0,0,ROW()-1,60),ROW()-1,FALSE))</f>
        <v>828.298</v>
      </c>
      <c r="AE9">
        <f ca="1">IF(AND(ISNUMBER($AE$45),$B$39=1),$AE$45,HLOOKUP(INDIRECT(ADDRESS(2,COLUMN())),OFFSET($BN$2,0,0,ROW()-1,60),ROW()-1,FALSE))</f>
        <v>761.26599999999996</v>
      </c>
      <c r="AF9">
        <f ca="1">IF(AND(ISNUMBER($AF$45),$B$39=1),$AF$45,HLOOKUP(INDIRECT(ADDRESS(2,COLUMN())),OFFSET($BN$2,0,0,ROW()-1,60),ROW()-1,FALSE))</f>
        <v>681.20500000000004</v>
      </c>
      <c r="AG9">
        <f ca="1">IF(AND(ISNUMBER($AG$45),$B$39=1),$AG$45,HLOOKUP(INDIRECT(ADDRESS(2,COLUMN())),OFFSET($BN$2,0,0,ROW()-1,60),ROW()-1,FALSE))</f>
        <v>694.19899999999996</v>
      </c>
      <c r="AH9">
        <f ca="1">IF(AND(ISNUMBER($AH$45),$B$39=1),$AH$45,HLOOKUP(INDIRECT(ADDRESS(2,COLUMN())),OFFSET($BN$2,0,0,ROW()-1,60),ROW()-1,FALSE))</f>
        <v>602.43299999999999</v>
      </c>
      <c r="AI9">
        <f ca="1">IF(AND(ISNUMBER($AI$45),$B$39=1),$AI$45,HLOOKUP(INDIRECT(ADDRESS(2,COLUMN())),OFFSET($BN$2,0,0,ROW()-1,60),ROW()-1,FALSE))</f>
        <v>605.22799999999995</v>
      </c>
      <c r="AJ9">
        <f ca="1">IF(AND(ISNUMBER($AJ$45),$B$39=1),$AJ$45,HLOOKUP(INDIRECT(ADDRESS(2,COLUMN())),OFFSET($BN$2,0,0,ROW()-1,60),ROW()-1,FALSE))</f>
        <v>584.18600000000004</v>
      </c>
      <c r="AK9">
        <f ca="1">IF(AND(ISNUMBER($AK$45),$B$39=1),$AK$45,HLOOKUP(INDIRECT(ADDRESS(2,COLUMN())),OFFSET($BN$2,0,0,ROW()-1,60),ROW()-1,FALSE))</f>
        <v>571.45699999999999</v>
      </c>
      <c r="AL9">
        <f ca="1">IF(AND(ISNUMBER($AL$45),$B$39=1),$AL$45,HLOOKUP(INDIRECT(ADDRESS(2,COLUMN())),OFFSET($BN$2,0,0,ROW()-1,60),ROW()-1,FALSE))</f>
        <v>403.834</v>
      </c>
      <c r="AM9">
        <f ca="1">IF(AND(ISNUMBER($AM$45),$B$39=1),$AM$45,HLOOKUP(INDIRECT(ADDRESS(2,COLUMN())),OFFSET($BN$2,0,0,ROW()-1,60),ROW()-1,FALSE))</f>
        <v>565.20299999999997</v>
      </c>
      <c r="AN9">
        <f ca="1">IF(AND(ISNUMBER($AN$45),$B$39=1),$AN$45,HLOOKUP(INDIRECT(ADDRESS(2,COLUMN())),OFFSET($BN$2,0,0,ROW()-1,60),ROW()-1,FALSE))</f>
        <v>542.58299999999997</v>
      </c>
      <c r="AO9">
        <f ca="1">IF(AND(ISNUMBER($AO$45),$B$39=1),$AO$45,HLOOKUP(INDIRECT(ADDRESS(2,COLUMN())),OFFSET($BN$2,0,0,ROW()-1,60),ROW()-1,FALSE))</f>
        <v>711.97500000000002</v>
      </c>
      <c r="AP9">
        <f ca="1">IF(AND(ISNUMBER($AP$45),$B$39=1),$AP$45,HLOOKUP(INDIRECT(ADDRESS(2,COLUMN())),OFFSET($BN$2,0,0,ROW()-1,60),ROW()-1,FALSE))</f>
        <v>181.00299999999999</v>
      </c>
      <c r="AQ9">
        <f ca="1">IF(AND(ISNUMBER($AQ$45),$B$39=1),$AQ$45,HLOOKUP(INDIRECT(ADDRESS(2,COLUMN())),OFFSET($BN$2,0,0,ROW()-1,60),ROW()-1,FALSE))</f>
        <v>668.58199999999999</v>
      </c>
      <c r="AR9">
        <f ca="1">IF(AND(ISNUMBER($AR$45),$B$39=1),$AR$45,HLOOKUP(INDIRECT(ADDRESS(2,COLUMN())),OFFSET($BN$2,0,0,ROW()-1,60),ROW()-1,FALSE))</f>
        <v>664.68799999999999</v>
      </c>
      <c r="AS9">
        <f ca="1">IF(AND(ISNUMBER($AS$45),$B$39=1),$AS$45,HLOOKUP(INDIRECT(ADDRESS(2,COLUMN())),OFFSET($BN$2,0,0,ROW()-1,60),ROW()-1,FALSE))</f>
        <v>680.52599999999995</v>
      </c>
      <c r="AT9">
        <f ca="1">IF(AND(ISNUMBER($AT$45),$B$39=1),$AT$45,HLOOKUP(INDIRECT(ADDRESS(2,COLUMN())),OFFSET($BN$2,0,0,ROW()-1,60),ROW()-1,FALSE))</f>
        <v>718.56349999999998</v>
      </c>
      <c r="AU9">
        <f ca="1">IF(AND(ISNUMBER($AU$45),$B$39=1),$AU$45,HLOOKUP(INDIRECT(ADDRESS(2,COLUMN())),OFFSET($BN$2,0,0,ROW()-1,60),ROW()-1,FALSE))</f>
        <v>678.24599999999998</v>
      </c>
      <c r="AV9">
        <f ca="1">IF(AND(ISNUMBER($AV$45),$B$39=1),$AV$45,HLOOKUP(INDIRECT(ADDRESS(2,COLUMN())),OFFSET($BN$2,0,0,ROW()-1,60),ROW()-1,FALSE))</f>
        <v>817.51099999999997</v>
      </c>
      <c r="AW9">
        <f ca="1">IF(AND(ISNUMBER($AW$45),$B$39=1),$AW$45,HLOOKUP(INDIRECT(ADDRESS(2,COLUMN())),OFFSET($BN$2,0,0,ROW()-1,60),ROW()-1,FALSE))</f>
        <v>789.09400000000005</v>
      </c>
      <c r="AX9">
        <f ca="1">IF(AND(ISNUMBER($AX$45),$B$39=1),$AX$45,HLOOKUP(INDIRECT(ADDRESS(2,COLUMN())),OFFSET($BN$2,0,0,ROW()-1,60),ROW()-1,FALSE))</f>
        <v>760.87900000000002</v>
      </c>
      <c r="AY9">
        <f ca="1">IF(AND(ISNUMBER($AY$45),$B$39=1),$AY$45,HLOOKUP(INDIRECT(ADDRESS(2,COLUMN())),OFFSET($BN$2,0,0,ROW()-1,60),ROW()-1,FALSE))</f>
        <v>802.28300000000002</v>
      </c>
      <c r="AZ9">
        <f ca="1">IF(AND(ISNUMBER($AZ$45),$B$39=1),$AZ$45,HLOOKUP(INDIRECT(ADDRESS(2,COLUMN())),OFFSET($BN$2,0,0,ROW()-1,60),ROW()-1,FALSE))</f>
        <v>833.79399999999998</v>
      </c>
      <c r="BA9">
        <f ca="1">IF(AND(ISNUMBER($BA$45),$B$39=1),$BA$45,HLOOKUP(INDIRECT(ADDRESS(2,COLUMN())),OFFSET($BN$2,0,0,ROW()-1,60),ROW()-1,FALSE))</f>
        <v>783.17700000000002</v>
      </c>
      <c r="BB9">
        <f ca="1">IF(AND(ISNUMBER($BB$45),$B$39=1),$BB$45,HLOOKUP(INDIRECT(ADDRESS(2,COLUMN())),OFFSET($BN$2,0,0,ROW()-1,60),ROW()-1,FALSE))</f>
        <v>773.36199999999997</v>
      </c>
      <c r="BC9">
        <f ca="1">IF(AND(ISNUMBER($BC$45),$B$39=1),$BC$45,HLOOKUP(INDIRECT(ADDRESS(2,COLUMN())),OFFSET($BN$2,0,0,ROW()-1,60),ROW()-1,FALSE))</f>
        <v>758.33900000000006</v>
      </c>
      <c r="BD9">
        <f ca="1">IF(AND(ISNUMBER($BD$45),$B$39=1),$BD$45,HLOOKUP(INDIRECT(ADDRESS(2,COLUMN())),OFFSET($BN$2,0,0,ROW()-1,60),ROW()-1,FALSE))</f>
        <v>741.14800000000002</v>
      </c>
      <c r="BE9">
        <f ca="1">IF(AND(ISNUMBER($BE$45),$B$39=1),$BE$45,HLOOKUP(INDIRECT(ADDRESS(2,COLUMN())),OFFSET($BN$2,0,0,ROW()-1,60),ROW()-1,FALSE))</f>
        <v>778.15300000000002</v>
      </c>
      <c r="BF9">
        <f ca="1">IF(AND(ISNUMBER($BF$45),$B$39=1),$BF$45,HLOOKUP(INDIRECT(ADDRESS(2,COLUMN())),OFFSET($BN$2,0,0,ROW()-1,60),ROW()-1,FALSE))</f>
        <v>679.495</v>
      </c>
      <c r="BG9">
        <f ca="1">IF(AND(ISNUMBER($BG$45),$B$39=1),$BG$45,HLOOKUP(INDIRECT(ADDRESS(2,COLUMN())),OFFSET($BN$2,0,0,ROW()-1,60),ROW()-1,FALSE))</f>
        <v>721.17949999999996</v>
      </c>
      <c r="BH9">
        <f ca="1">IF(AND(ISNUMBER($BH$45),$B$39=1),$BH$45,HLOOKUP(INDIRECT(ADDRESS(2,COLUMN())),OFFSET($BN$2,0,0,ROW()-1,60),ROW()-1,FALSE))</f>
        <v>716.85</v>
      </c>
      <c r="BI9">
        <f ca="1">IF(AND(ISNUMBER($BI$45),$B$39=1),$BI$45,HLOOKUP(INDIRECT(ADDRESS(2,COLUMN())),OFFSET($BN$2,0,0,ROW()-1,60),ROW()-1,FALSE))</f>
        <v>694.71699999999998</v>
      </c>
      <c r="BJ9">
        <f ca="1">IF(AND(ISNUMBER($BJ$45),$B$39=1),$BJ$45,HLOOKUP(INDIRECT(ADDRESS(2,COLUMN())),OFFSET($BN$2,0,0,ROW()-1,60),ROW()-1,FALSE))</f>
        <v>681.57399999999996</v>
      </c>
      <c r="BK9">
        <f ca="1">IF(AND(ISNUMBER($BK$45),$B$39=1),$BK$45,HLOOKUP(INDIRECT(ADDRESS(2,COLUMN())),OFFSET($BN$2,0,0,ROW()-1,60),ROW()-1,FALSE))</f>
        <v>701.423</v>
      </c>
      <c r="BL9">
        <f ca="1">IF(AND(ISNUMBER($BL$45),$B$39=1),$BL$45,HLOOKUP(INDIRECT(ADDRESS(2,COLUMN())),OFFSET($BN$2,0,0,ROW()-1,60),ROW()-1,FALSE))</f>
        <v>682.61800000000005</v>
      </c>
      <c r="BM9">
        <f ca="1">IF(AND(ISNUMBER($BM$45),$B$39=1),$BM$45,HLOOKUP(INDIRECT(ADDRESS(2,COLUMN())),OFFSET($BN$2,0,0,ROW()-1,60),ROW()-1,FALSE))</f>
        <v>684.40300000000002</v>
      </c>
      <c r="BN9">
        <f>1504.492667</f>
        <v>1504.492667</v>
      </c>
      <c r="BO9">
        <f>1462.535</f>
        <v>1462.5350000000001</v>
      </c>
      <c r="BP9">
        <f>1396.325</f>
        <v>1396.325</v>
      </c>
      <c r="BQ9">
        <f>1435.044</f>
        <v>1435.0440000000001</v>
      </c>
      <c r="BR9">
        <f>1343.585</f>
        <v>1343.585</v>
      </c>
      <c r="BS9">
        <f>1378.521</f>
        <v>1378.521</v>
      </c>
      <c r="BT9">
        <f>1435.962</f>
        <v>1435.962</v>
      </c>
      <c r="BU9">
        <f>1269.044</f>
        <v>1269.0440000000001</v>
      </c>
      <c r="BV9">
        <f>1424.223</f>
        <v>1424.223</v>
      </c>
      <c r="BW9">
        <f>1354.908</f>
        <v>1354.9079999999999</v>
      </c>
      <c r="BX9">
        <f>1471.915</f>
        <v>1471.915</v>
      </c>
      <c r="BY9">
        <f>1366.032</f>
        <v>1366.0319999999999</v>
      </c>
      <c r="BZ9">
        <f>1331.867</f>
        <v>1331.867</v>
      </c>
      <c r="CA9">
        <f>1186.074</f>
        <v>1186.0740000000001</v>
      </c>
      <c r="CB9">
        <f>1207.511</f>
        <v>1207.511</v>
      </c>
      <c r="CC9">
        <f>1126.897</f>
        <v>1126.8969999999999</v>
      </c>
      <c r="CD9">
        <f>1172.95</f>
        <v>1172.95</v>
      </c>
      <c r="CE9">
        <f>1054.115</f>
        <v>1054.115</v>
      </c>
      <c r="CF9">
        <f>1147.188</f>
        <v>1147.1880000000001</v>
      </c>
      <c r="CG9">
        <f>844.138</f>
        <v>844.13800000000003</v>
      </c>
      <c r="CH9">
        <f>1057.367</f>
        <v>1057.367</v>
      </c>
      <c r="CI9">
        <f>1002.796</f>
        <v>1002.796</v>
      </c>
      <c r="CJ9">
        <f>892.86</f>
        <v>892.86</v>
      </c>
      <c r="CK9">
        <f>878.604</f>
        <v>878.60400000000004</v>
      </c>
      <c r="CL9">
        <f>828.298</f>
        <v>828.298</v>
      </c>
      <c r="CM9">
        <f>761.266</f>
        <v>761.26599999999996</v>
      </c>
      <c r="CN9">
        <f>681.205</f>
        <v>681.20500000000004</v>
      </c>
      <c r="CO9">
        <f>694.199</f>
        <v>694.19899999999996</v>
      </c>
      <c r="CP9">
        <f>602.433</f>
        <v>602.43299999999999</v>
      </c>
      <c r="CQ9">
        <f>605.228</f>
        <v>605.22799999999995</v>
      </c>
      <c r="CR9">
        <f>584.186</f>
        <v>584.18600000000004</v>
      </c>
      <c r="CS9">
        <f>571.457</f>
        <v>571.45699999999999</v>
      </c>
      <c r="CT9">
        <f>403.834</f>
        <v>403.834</v>
      </c>
      <c r="CU9">
        <f>565.203</f>
        <v>565.20299999999997</v>
      </c>
      <c r="CV9">
        <f>542.583</f>
        <v>542.58299999999997</v>
      </c>
      <c r="CW9">
        <f>711.975</f>
        <v>711.97500000000002</v>
      </c>
      <c r="CX9">
        <f>181.003</f>
        <v>181.00299999999999</v>
      </c>
      <c r="CY9">
        <f>668.582</f>
        <v>668.58199999999999</v>
      </c>
      <c r="CZ9">
        <f>664.688</f>
        <v>664.68799999999999</v>
      </c>
      <c r="DA9">
        <f>680.526</f>
        <v>680.52599999999995</v>
      </c>
      <c r="DB9">
        <f>718.5635</f>
        <v>718.56349999999998</v>
      </c>
      <c r="DC9">
        <f>678.246</f>
        <v>678.24599999999998</v>
      </c>
      <c r="DD9">
        <f>817.511</f>
        <v>817.51099999999997</v>
      </c>
      <c r="DE9">
        <f>789.094</f>
        <v>789.09400000000005</v>
      </c>
      <c r="DF9">
        <f>760.879</f>
        <v>760.87900000000002</v>
      </c>
      <c r="DG9">
        <f>802.283</f>
        <v>802.28300000000002</v>
      </c>
      <c r="DH9">
        <f>833.794</f>
        <v>833.79399999999998</v>
      </c>
      <c r="DI9">
        <f>783.177</f>
        <v>783.17700000000002</v>
      </c>
      <c r="DJ9">
        <f>773.362</f>
        <v>773.36199999999997</v>
      </c>
      <c r="DK9">
        <f>758.339</f>
        <v>758.33900000000006</v>
      </c>
      <c r="DL9">
        <f>741.148</f>
        <v>741.14800000000002</v>
      </c>
      <c r="DM9">
        <f>778.153</f>
        <v>778.15300000000002</v>
      </c>
      <c r="DN9">
        <f>679.495</f>
        <v>679.495</v>
      </c>
      <c r="DO9">
        <f>721.1795</f>
        <v>721.17949999999996</v>
      </c>
      <c r="DP9">
        <f>716.85</f>
        <v>716.85</v>
      </c>
      <c r="DQ9">
        <f>694.717</f>
        <v>694.71699999999998</v>
      </c>
      <c r="DR9">
        <f>681.574</f>
        <v>681.57399999999996</v>
      </c>
      <c r="DS9">
        <f>701.423</f>
        <v>701.423</v>
      </c>
      <c r="DT9">
        <f>682.618</f>
        <v>682.61800000000005</v>
      </c>
      <c r="DU9">
        <f>684.403</f>
        <v>684.40300000000002</v>
      </c>
    </row>
    <row r="10" spans="1:125">
      <c r="A10" t="str">
        <f>"    公寓房地产投资信托净营业利润"</f>
        <v xml:space="preserve">    公寓房地产投资信托净营业利润</v>
      </c>
      <c r="B10" t="str">
        <f>"RECFNOAP Index"</f>
        <v>RECFNOAP Index</v>
      </c>
      <c r="C10" t="str">
        <f>"PR005"</f>
        <v>PR005</v>
      </c>
      <c r="D10" t="str">
        <f>"PX_LAST"</f>
        <v>PX_LAST</v>
      </c>
      <c r="E10" t="str">
        <f>"动态"</f>
        <v>动态</v>
      </c>
      <c r="F10">
        <f ca="1">IF(AND(ISNUMBER($F$46),$B$39=1),$F$46,HLOOKUP(INDIRECT(ADDRESS(2,COLUMN())),OFFSET($BN$2,0,0,ROW()-1,60),ROW()-1,FALSE))</f>
        <v>2141.3017209999998</v>
      </c>
      <c r="G10">
        <f ca="1">IF(AND(ISNUMBER($G$46),$B$39=1),$G$46,HLOOKUP(INDIRECT(ADDRESS(2,COLUMN())),OFFSET($BN$2,0,0,ROW()-1,60),ROW()-1,FALSE))</f>
        <v>2003.3030000000001</v>
      </c>
      <c r="H10">
        <f ca="1">IF(AND(ISNUMBER($H$46),$B$39=1),$H$46,HLOOKUP(INDIRECT(ADDRESS(2,COLUMN())),OFFSET($BN$2,0,0,ROW()-1,60),ROW()-1,FALSE))</f>
        <v>2023.7049999999999</v>
      </c>
      <c r="I10">
        <f ca="1">IF(AND(ISNUMBER($I$46),$B$39=1),$I$46,HLOOKUP(INDIRECT(ADDRESS(2,COLUMN())),OFFSET($BN$2,0,0,ROW()-1,60),ROW()-1,FALSE))</f>
        <v>2012.2619999999999</v>
      </c>
      <c r="J10">
        <f ca="1">IF(AND(ISNUMBER($J$46),$B$39=1),$J$46,HLOOKUP(INDIRECT(ADDRESS(2,COLUMN())),OFFSET($BN$2,0,0,ROW()-1,60),ROW()-1,FALSE))</f>
        <v>1978.77</v>
      </c>
      <c r="K10">
        <f ca="1">IF(AND(ISNUMBER($K$46),$B$39=1),$K$46,HLOOKUP(INDIRECT(ADDRESS(2,COLUMN())),OFFSET($BN$2,0,0,ROW()-1,60),ROW()-1,FALSE))</f>
        <v>1924.7080000000001</v>
      </c>
      <c r="L10">
        <f ca="1">IF(AND(ISNUMBER($L$46),$B$39=1),$L$46,HLOOKUP(INDIRECT(ADDRESS(2,COLUMN())),OFFSET($BN$2,0,0,ROW()-1,60),ROW()-1,FALSE))</f>
        <v>1919.617</v>
      </c>
      <c r="M10">
        <f ca="1">IF(AND(ISNUMBER($M$46),$B$39=1),$M$46,HLOOKUP(INDIRECT(ADDRESS(2,COLUMN())),OFFSET($BN$2,0,0,ROW()-1,60),ROW()-1,FALSE))</f>
        <v>1921.7159999999999</v>
      </c>
      <c r="N10">
        <f ca="1">IF(AND(ISNUMBER($N$46),$B$39=1),$N$46,HLOOKUP(INDIRECT(ADDRESS(2,COLUMN())),OFFSET($BN$2,0,0,ROW()-1,60),ROW()-1,FALSE))</f>
        <v>1986.1179999999999</v>
      </c>
      <c r="O10">
        <f ca="1">IF(AND(ISNUMBER($O$46),$B$39=1),$O$46,HLOOKUP(INDIRECT(ADDRESS(2,COLUMN())),OFFSET($BN$2,0,0,ROW()-1,60),ROW()-1,FALSE))</f>
        <v>1853.348</v>
      </c>
      <c r="P10">
        <f ca="1">IF(AND(ISNUMBER($P$46),$B$39=1),$P$46,HLOOKUP(INDIRECT(ADDRESS(2,COLUMN())),OFFSET($BN$2,0,0,ROW()-1,60),ROW()-1,FALSE))</f>
        <v>2017.0650000000001</v>
      </c>
      <c r="Q10">
        <f ca="1">IF(AND(ISNUMBER($Q$46),$B$39=1),$Q$46,HLOOKUP(INDIRECT(ADDRESS(2,COLUMN())),OFFSET($BN$2,0,0,ROW()-1,60),ROW()-1,FALSE))</f>
        <v>1941.152</v>
      </c>
      <c r="R10">
        <f ca="1">IF(AND(ISNUMBER($R$46),$B$39=1),$R$46,HLOOKUP(INDIRECT(ADDRESS(2,COLUMN())),OFFSET($BN$2,0,0,ROW()-1,60),ROW()-1,FALSE))</f>
        <v>1953.6344999999999</v>
      </c>
      <c r="S10">
        <f ca="1">IF(AND(ISNUMBER($S$46),$B$39=1),$S$46,HLOOKUP(INDIRECT(ADDRESS(2,COLUMN())),OFFSET($BN$2,0,0,ROW()-1,60),ROW()-1,FALSE))</f>
        <v>1817.4929999999999</v>
      </c>
      <c r="T10">
        <f ca="1">IF(AND(ISNUMBER($T$46),$B$39=1),$T$46,HLOOKUP(INDIRECT(ADDRESS(2,COLUMN())),OFFSET($BN$2,0,0,ROW()-1,60),ROW()-1,FALSE))</f>
        <v>1791.0239999999999</v>
      </c>
      <c r="U10">
        <f ca="1">IF(AND(ISNUMBER($U$46),$B$39=1),$U$46,HLOOKUP(INDIRECT(ADDRESS(2,COLUMN())),OFFSET($BN$2,0,0,ROW()-1,60),ROW()-1,FALSE))</f>
        <v>1670.5530000000001</v>
      </c>
      <c r="V10">
        <f ca="1">IF(AND(ISNUMBER($V$46),$B$39=1),$V$46,HLOOKUP(INDIRECT(ADDRESS(2,COLUMN())),OFFSET($BN$2,0,0,ROW()-1,60),ROW()-1,FALSE))</f>
        <v>1775.7729999999999</v>
      </c>
      <c r="W10">
        <f ca="1">IF(AND(ISNUMBER($W$46),$B$39=1),$W$46,HLOOKUP(INDIRECT(ADDRESS(2,COLUMN())),OFFSET($BN$2,0,0,ROW()-1,60),ROW()-1,FALSE))</f>
        <v>1629.01</v>
      </c>
      <c r="X10">
        <f ca="1">IF(AND(ISNUMBER($X$46),$B$39=1),$X$46,HLOOKUP(INDIRECT(ADDRESS(2,COLUMN())),OFFSET($BN$2,0,0,ROW()-1,60),ROW()-1,FALSE))</f>
        <v>1702.7149999999999</v>
      </c>
      <c r="Y10">
        <f ca="1">IF(AND(ISNUMBER($Y$46),$B$39=1),$Y$46,HLOOKUP(INDIRECT(ADDRESS(2,COLUMN())),OFFSET($BN$2,0,0,ROW()-1,60),ROW()-1,FALSE))</f>
        <v>1567.925</v>
      </c>
      <c r="Z10">
        <f ca="1">IF(AND(ISNUMBER($Z$46),$B$39=1),$Z$46,HLOOKUP(INDIRECT(ADDRESS(2,COLUMN())),OFFSET($BN$2,0,0,ROW()-1,60),ROW()-1,FALSE))</f>
        <v>1545.973</v>
      </c>
      <c r="AA10">
        <f ca="1">IF(AND(ISNUMBER($AA$46),$B$39=1),$AA$46,HLOOKUP(INDIRECT(ADDRESS(2,COLUMN())),OFFSET($BN$2,0,0,ROW()-1,60),ROW()-1,FALSE))</f>
        <v>1484.886</v>
      </c>
      <c r="AB10">
        <f ca="1">IF(AND(ISNUMBER($AB$46),$B$39=1),$AB$46,HLOOKUP(INDIRECT(ADDRESS(2,COLUMN())),OFFSET($BN$2,0,0,ROW()-1,60),ROW()-1,FALSE))</f>
        <v>1460.11</v>
      </c>
      <c r="AC10">
        <f ca="1">IF(AND(ISNUMBER($AC$46),$B$39=1),$AC$46,HLOOKUP(INDIRECT(ADDRESS(2,COLUMN())),OFFSET($BN$2,0,0,ROW()-1,60),ROW()-1,FALSE))</f>
        <v>1425.346</v>
      </c>
      <c r="AD10">
        <f ca="1">IF(AND(ISNUMBER($AD$46),$B$39=1),$AD$46,HLOOKUP(INDIRECT(ADDRESS(2,COLUMN())),OFFSET($BN$2,0,0,ROW()-1,60),ROW()-1,FALSE))</f>
        <v>1411.42</v>
      </c>
      <c r="AE10">
        <f ca="1">IF(AND(ISNUMBER($AE$46),$B$39=1),$AE$46,HLOOKUP(INDIRECT(ADDRESS(2,COLUMN())),OFFSET($BN$2,0,0,ROW()-1,60),ROW()-1,FALSE))</f>
        <v>1342.7</v>
      </c>
      <c r="AF10">
        <f ca="1">IF(AND(ISNUMBER($AF$46),$B$39=1),$AF$46,HLOOKUP(INDIRECT(ADDRESS(2,COLUMN())),OFFSET($BN$2,0,0,ROW()-1,60),ROW()-1,FALSE))</f>
        <v>1327.5630000000001</v>
      </c>
      <c r="AG10">
        <f ca="1">IF(AND(ISNUMBER($AG$46),$B$39=1),$AG$46,HLOOKUP(INDIRECT(ADDRESS(2,COLUMN())),OFFSET($BN$2,0,0,ROW()-1,60),ROW()-1,FALSE))</f>
        <v>1293.971</v>
      </c>
      <c r="AH10">
        <f ca="1">IF(AND(ISNUMBER($AH$46),$B$39=1),$AH$46,HLOOKUP(INDIRECT(ADDRESS(2,COLUMN())),OFFSET($BN$2,0,0,ROW()-1,60),ROW()-1,FALSE))</f>
        <v>1282.1400000000001</v>
      </c>
      <c r="AI10">
        <f ca="1">IF(AND(ISNUMBER($AI$46),$B$39=1),$AI$46,HLOOKUP(INDIRECT(ADDRESS(2,COLUMN())),OFFSET($BN$2,0,0,ROW()-1,60),ROW()-1,FALSE))</f>
        <v>1218.6579999999999</v>
      </c>
      <c r="AJ10">
        <f ca="1">IF(AND(ISNUMBER($AJ$46),$B$39=1),$AJ$46,HLOOKUP(INDIRECT(ADDRESS(2,COLUMN())),OFFSET($BN$2,0,0,ROW()-1,60),ROW()-1,FALSE))</f>
        <v>1202.251</v>
      </c>
      <c r="AK10">
        <f ca="1">IF(AND(ISNUMBER($AK$46),$B$39=1),$AK$46,HLOOKUP(INDIRECT(ADDRESS(2,COLUMN())),OFFSET($BN$2,0,0,ROW()-1,60),ROW()-1,FALSE))</f>
        <v>1164.643</v>
      </c>
      <c r="AL10">
        <f ca="1">IF(AND(ISNUMBER($AL$46),$B$39=1),$AL$46,HLOOKUP(INDIRECT(ADDRESS(2,COLUMN())),OFFSET($BN$2,0,0,ROW()-1,60),ROW()-1,FALSE))</f>
        <v>1190.2439999999999</v>
      </c>
      <c r="AM10">
        <f ca="1">IF(AND(ISNUMBER($AM$46),$B$39=1),$AM$46,HLOOKUP(INDIRECT(ADDRESS(2,COLUMN())),OFFSET($BN$2,0,0,ROW()-1,60),ROW()-1,FALSE))</f>
        <v>1176.896</v>
      </c>
      <c r="AN10">
        <f ca="1">IF(AND(ISNUMBER($AN$46),$B$39=1),$AN$46,HLOOKUP(INDIRECT(ADDRESS(2,COLUMN())),OFFSET($BN$2,0,0,ROW()-1,60),ROW()-1,FALSE))</f>
        <v>1233.0719999999999</v>
      </c>
      <c r="AO10">
        <f ca="1">IF(AND(ISNUMBER($AO$46),$B$39=1),$AO$46,HLOOKUP(INDIRECT(ADDRESS(2,COLUMN())),OFFSET($BN$2,0,0,ROW()-1,60),ROW()-1,FALSE))</f>
        <v>1239.9749999999999</v>
      </c>
      <c r="AP10">
        <f ca="1">IF(AND(ISNUMBER($AP$46),$B$39=1),$AP$46,HLOOKUP(INDIRECT(ADDRESS(2,COLUMN())),OFFSET($BN$2,0,0,ROW()-1,60),ROW()-1,FALSE))</f>
        <v>1208.9804999999999</v>
      </c>
      <c r="AQ10">
        <f ca="1">IF(AND(ISNUMBER($AQ$46),$B$39=1),$AQ$46,HLOOKUP(INDIRECT(ADDRESS(2,COLUMN())),OFFSET($BN$2,0,0,ROW()-1,60),ROW()-1,FALSE))</f>
        <v>1235.2149999999999</v>
      </c>
      <c r="AR10">
        <f ca="1">IF(AND(ISNUMBER($AR$46),$B$39=1),$AR$46,HLOOKUP(INDIRECT(ADDRESS(2,COLUMN())),OFFSET($BN$2,0,0,ROW()-1,60),ROW()-1,FALSE))</f>
        <v>1265.6210000000001</v>
      </c>
      <c r="AS10">
        <f ca="1">IF(AND(ISNUMBER($AS$46),$B$39=1),$AS$46,HLOOKUP(INDIRECT(ADDRESS(2,COLUMN())),OFFSET($BN$2,0,0,ROW()-1,60),ROW()-1,FALSE))</f>
        <v>1263.931</v>
      </c>
      <c r="AT10">
        <f ca="1">IF(AND(ISNUMBER($AT$46),$B$39=1),$AT$46,HLOOKUP(INDIRECT(ADDRESS(2,COLUMN())),OFFSET($BN$2,0,0,ROW()-1,60),ROW()-1,FALSE))</f>
        <v>1305.3209999999999</v>
      </c>
      <c r="AU10">
        <f ca="1">IF(AND(ISNUMBER($AU$46),$B$39=1),$AU$46,HLOOKUP(INDIRECT(ADDRESS(2,COLUMN())),OFFSET($BN$2,0,0,ROW()-1,60),ROW()-1,FALSE))</f>
        <v>1285.4780000000001</v>
      </c>
      <c r="AV10">
        <f ca="1">IF(AND(ISNUMBER($AV$46),$B$39=1),$AV$46,HLOOKUP(INDIRECT(ADDRESS(2,COLUMN())),OFFSET($BN$2,0,0,ROW()-1,60),ROW()-1,FALSE))</f>
        <v>1447.394</v>
      </c>
      <c r="AW10">
        <f ca="1">IF(AND(ISNUMBER($AW$46),$B$39=1),$AW$46,HLOOKUP(INDIRECT(ADDRESS(2,COLUMN())),OFFSET($BN$2,0,0,ROW()-1,60),ROW()-1,FALSE))</f>
        <v>1409.61</v>
      </c>
      <c r="AX10">
        <f ca="1">IF(AND(ISNUMBER($AX$46),$B$39=1),$AX$46,HLOOKUP(INDIRECT(ADDRESS(2,COLUMN())),OFFSET($BN$2,0,0,ROW()-1,60),ROW()-1,FALSE))</f>
        <v>1416.9565</v>
      </c>
      <c r="AY10">
        <f ca="1">IF(AND(ISNUMBER($AY$46),$B$39=1),$AY$46,HLOOKUP(INDIRECT(ADDRESS(2,COLUMN())),OFFSET($BN$2,0,0,ROW()-1,60),ROW()-1,FALSE))</f>
        <v>1406.585</v>
      </c>
      <c r="AZ10">
        <f ca="1">IF(AND(ISNUMBER($AZ$46),$B$39=1),$AZ$46,HLOOKUP(INDIRECT(ADDRESS(2,COLUMN())),OFFSET($BN$2,0,0,ROW()-1,60),ROW()-1,FALSE))</f>
        <v>1396.5329999999999</v>
      </c>
      <c r="BA10">
        <f ca="1">IF(AND(ISNUMBER($BA$46),$B$39=1),$BA$46,HLOOKUP(INDIRECT(ADDRESS(2,COLUMN())),OFFSET($BN$2,0,0,ROW()-1,60),ROW()-1,FALSE))</f>
        <v>1357.4839999999999</v>
      </c>
      <c r="BB10">
        <f ca="1">IF(AND(ISNUMBER($BB$46),$B$39=1),$BB$46,HLOOKUP(INDIRECT(ADDRESS(2,COLUMN())),OFFSET($BN$2,0,0,ROW()-1,60),ROW()-1,FALSE))</f>
        <v>1329.1949999999999</v>
      </c>
      <c r="BC10">
        <f ca="1">IF(AND(ISNUMBER($BC$46),$B$39=1),$BC$46,HLOOKUP(INDIRECT(ADDRESS(2,COLUMN())),OFFSET($BN$2,0,0,ROW()-1,60),ROW()-1,FALSE))</f>
        <v>1288.33</v>
      </c>
      <c r="BD10">
        <f ca="1">IF(AND(ISNUMBER($BD$46),$B$39=1),$BD$46,HLOOKUP(INDIRECT(ADDRESS(2,COLUMN())),OFFSET($BN$2,0,0,ROW()-1,60),ROW()-1,FALSE))</f>
        <v>1330.7670000000001</v>
      </c>
      <c r="BE10">
        <f ca="1">IF(AND(ISNUMBER($BE$46),$B$39=1),$BE$46,HLOOKUP(INDIRECT(ADDRESS(2,COLUMN())),OFFSET($BN$2,0,0,ROW()-1,60),ROW()-1,FALSE))</f>
        <v>1263.6110000000001</v>
      </c>
      <c r="BF10">
        <f ca="1">IF(AND(ISNUMBER($BF$46),$B$39=1),$BF$46,HLOOKUP(INDIRECT(ADDRESS(2,COLUMN())),OFFSET($BN$2,0,0,ROW()-1,60),ROW()-1,FALSE))</f>
        <v>1247.71</v>
      </c>
      <c r="BG10">
        <f ca="1">IF(AND(ISNUMBER($BG$46),$B$39=1),$BG$46,HLOOKUP(INDIRECT(ADDRESS(2,COLUMN())),OFFSET($BN$2,0,0,ROW()-1,60),ROW()-1,FALSE))</f>
        <v>1239.903</v>
      </c>
      <c r="BH10">
        <f ca="1">IF(AND(ISNUMBER($BH$46),$B$39=1),$BH$46,HLOOKUP(INDIRECT(ADDRESS(2,COLUMN())),OFFSET($BN$2,0,0,ROW()-1,60),ROW()-1,FALSE))</f>
        <v>1263.6959999999999</v>
      </c>
      <c r="BI10">
        <f ca="1">IF(AND(ISNUMBER($BI$46),$B$39=1),$BI$46,HLOOKUP(INDIRECT(ADDRESS(2,COLUMN())),OFFSET($BN$2,0,0,ROW()-1,60),ROW()-1,FALSE))</f>
        <v>1228.4929999999999</v>
      </c>
      <c r="BJ10">
        <f ca="1">IF(AND(ISNUMBER($BJ$46),$B$39=1),$BJ$46,HLOOKUP(INDIRECT(ADDRESS(2,COLUMN())),OFFSET($BN$2,0,0,ROW()-1,60),ROW()-1,FALSE))</f>
        <v>1221.1189999999999</v>
      </c>
      <c r="BK10">
        <f ca="1">IF(AND(ISNUMBER($BK$46),$B$39=1),$BK$46,HLOOKUP(INDIRECT(ADDRESS(2,COLUMN())),OFFSET($BN$2,0,0,ROW()-1,60),ROW()-1,FALSE))</f>
        <v>1228.498</v>
      </c>
      <c r="BL10">
        <f ca="1">IF(AND(ISNUMBER($BL$46),$B$39=1),$BL$46,HLOOKUP(INDIRECT(ADDRESS(2,COLUMN())),OFFSET($BN$2,0,0,ROW()-1,60),ROW()-1,FALSE))</f>
        <v>1247.357</v>
      </c>
      <c r="BM10">
        <f ca="1">IF(AND(ISNUMBER($BM$46),$B$39=1),$BM$46,HLOOKUP(INDIRECT(ADDRESS(2,COLUMN())),OFFSET($BN$2,0,0,ROW()-1,60),ROW()-1,FALSE))</f>
        <v>1219.6610000000001</v>
      </c>
      <c r="BN10">
        <f>2141.301721</f>
        <v>2141.3017209999998</v>
      </c>
      <c r="BO10">
        <f>2003.303</f>
        <v>2003.3030000000001</v>
      </c>
      <c r="BP10">
        <f>2023.705</f>
        <v>2023.7049999999999</v>
      </c>
      <c r="BQ10">
        <f>2012.262</f>
        <v>2012.2619999999999</v>
      </c>
      <c r="BR10">
        <f>1978.77</f>
        <v>1978.77</v>
      </c>
      <c r="BS10">
        <f>1924.708</f>
        <v>1924.7080000000001</v>
      </c>
      <c r="BT10">
        <f>1919.617</f>
        <v>1919.617</v>
      </c>
      <c r="BU10">
        <f>1921.716</f>
        <v>1921.7159999999999</v>
      </c>
      <c r="BV10">
        <f>1986.118</f>
        <v>1986.1179999999999</v>
      </c>
      <c r="BW10">
        <f>1853.348</f>
        <v>1853.348</v>
      </c>
      <c r="BX10">
        <f>2017.065</f>
        <v>2017.0650000000001</v>
      </c>
      <c r="BY10">
        <f>1941.152</f>
        <v>1941.152</v>
      </c>
      <c r="BZ10">
        <f>1953.6345</f>
        <v>1953.6344999999999</v>
      </c>
      <c r="CA10">
        <f>1817.493</f>
        <v>1817.4929999999999</v>
      </c>
      <c r="CB10">
        <f>1791.024</f>
        <v>1791.0239999999999</v>
      </c>
      <c r="CC10">
        <f>1670.553</f>
        <v>1670.5530000000001</v>
      </c>
      <c r="CD10">
        <f>1775.773</f>
        <v>1775.7729999999999</v>
      </c>
      <c r="CE10">
        <f>1629.01</f>
        <v>1629.01</v>
      </c>
      <c r="CF10">
        <f>1702.715</f>
        <v>1702.7149999999999</v>
      </c>
      <c r="CG10">
        <f>1567.925</f>
        <v>1567.925</v>
      </c>
      <c r="CH10">
        <f>1545.973</f>
        <v>1545.973</v>
      </c>
      <c r="CI10">
        <f>1484.886</f>
        <v>1484.886</v>
      </c>
      <c r="CJ10">
        <f>1460.11</f>
        <v>1460.11</v>
      </c>
      <c r="CK10">
        <f>1425.346</f>
        <v>1425.346</v>
      </c>
      <c r="CL10">
        <f>1411.42</f>
        <v>1411.42</v>
      </c>
      <c r="CM10">
        <f>1342.7</f>
        <v>1342.7</v>
      </c>
      <c r="CN10">
        <f>1327.563</f>
        <v>1327.5630000000001</v>
      </c>
      <c r="CO10">
        <f>1293.971</f>
        <v>1293.971</v>
      </c>
      <c r="CP10">
        <f>1282.14</f>
        <v>1282.1400000000001</v>
      </c>
      <c r="CQ10">
        <f>1218.658</f>
        <v>1218.6579999999999</v>
      </c>
      <c r="CR10">
        <f>1202.251</f>
        <v>1202.251</v>
      </c>
      <c r="CS10">
        <f>1164.643</f>
        <v>1164.643</v>
      </c>
      <c r="CT10">
        <f>1190.244</f>
        <v>1190.2439999999999</v>
      </c>
      <c r="CU10">
        <f>1176.896</f>
        <v>1176.896</v>
      </c>
      <c r="CV10">
        <f>1233.072</f>
        <v>1233.0719999999999</v>
      </c>
      <c r="CW10">
        <f>1239.975</f>
        <v>1239.9749999999999</v>
      </c>
      <c r="CX10">
        <f>1208.9805</f>
        <v>1208.9804999999999</v>
      </c>
      <c r="CY10">
        <f>1235.215</f>
        <v>1235.2149999999999</v>
      </c>
      <c r="CZ10">
        <f>1265.621</f>
        <v>1265.6210000000001</v>
      </c>
      <c r="DA10">
        <f>1263.931</f>
        <v>1263.931</v>
      </c>
      <c r="DB10">
        <f>1305.321</f>
        <v>1305.3209999999999</v>
      </c>
      <c r="DC10">
        <f>1285.478</f>
        <v>1285.4780000000001</v>
      </c>
      <c r="DD10">
        <f>1447.394</f>
        <v>1447.394</v>
      </c>
      <c r="DE10">
        <f>1409.61</f>
        <v>1409.61</v>
      </c>
      <c r="DF10">
        <f>1416.9565</f>
        <v>1416.9565</v>
      </c>
      <c r="DG10">
        <f>1406.585</f>
        <v>1406.585</v>
      </c>
      <c r="DH10">
        <f>1396.533</f>
        <v>1396.5329999999999</v>
      </c>
      <c r="DI10">
        <f>1357.484</f>
        <v>1357.4839999999999</v>
      </c>
      <c r="DJ10">
        <f>1329.195</f>
        <v>1329.1949999999999</v>
      </c>
      <c r="DK10">
        <f>1288.33</f>
        <v>1288.33</v>
      </c>
      <c r="DL10">
        <f>1330.767</f>
        <v>1330.7670000000001</v>
      </c>
      <c r="DM10">
        <f>1263.611</f>
        <v>1263.6110000000001</v>
      </c>
      <c r="DN10">
        <f>1247.71</f>
        <v>1247.71</v>
      </c>
      <c r="DO10">
        <f>1239.903</f>
        <v>1239.903</v>
      </c>
      <c r="DP10">
        <f>1263.696</f>
        <v>1263.6959999999999</v>
      </c>
      <c r="DQ10">
        <f>1228.493</f>
        <v>1228.4929999999999</v>
      </c>
      <c r="DR10">
        <f>1221.119</f>
        <v>1221.1189999999999</v>
      </c>
      <c r="DS10">
        <f>1228.498</f>
        <v>1228.498</v>
      </c>
      <c r="DT10">
        <f>1247.357</f>
        <v>1247.357</v>
      </c>
      <c r="DU10">
        <f>1219.661</f>
        <v>1219.6610000000001</v>
      </c>
    </row>
    <row r="11" spans="1:125">
      <c r="A11" t="str">
        <f>"    公寓房地产投资信托同店净营业利润增长"</f>
        <v xml:space="preserve">    公寓房地产投资信托同店净营业利润增长</v>
      </c>
      <c r="B11" t="str">
        <f>"RECFSSAP Index"</f>
        <v>RECFSSAP Index</v>
      </c>
      <c r="C11" t="str">
        <f>"PR005"</f>
        <v>PR005</v>
      </c>
      <c r="D11" t="str">
        <f>"PX_LAST"</f>
        <v>PX_LAST</v>
      </c>
      <c r="E11" t="str">
        <f>"动态"</f>
        <v>动态</v>
      </c>
      <c r="F11">
        <f ca="1">IF(AND(ISNUMBER($F$47),$B$39=1),$F$47,HLOOKUP(INDIRECT(ADDRESS(2,COLUMN())),OFFSET($BN$2,0,0,ROW()-1,60),ROW()-1,FALSE))</f>
        <v>2.6043458720000001</v>
      </c>
      <c r="G11">
        <f ca="1">IF(AND(ISNUMBER($G$47),$B$39=1),$G$47,HLOOKUP(INDIRECT(ADDRESS(2,COLUMN())),OFFSET($BN$2,0,0,ROW()-1,60),ROW()-1,FALSE))</f>
        <v>2.4537863799999999</v>
      </c>
      <c r="H11">
        <f ca="1">IF(AND(ISNUMBER($H$47),$B$39=1),$H$47,HLOOKUP(INDIRECT(ADDRESS(2,COLUMN())),OFFSET($BN$2,0,0,ROW()-1,60),ROW()-1,FALSE))</f>
        <v>2.8786365159999998</v>
      </c>
      <c r="I11">
        <f ca="1">IF(AND(ISNUMBER($I$47),$B$39=1),$I$47,HLOOKUP(INDIRECT(ADDRESS(2,COLUMN())),OFFSET($BN$2,0,0,ROW()-1,60),ROW()-1,FALSE))</f>
        <v>3.4220786360000002</v>
      </c>
      <c r="J11">
        <f ca="1">IF(AND(ISNUMBER($J$47),$B$39=1),$J$47,HLOOKUP(INDIRECT(ADDRESS(2,COLUMN())),OFFSET($BN$2,0,0,ROW()-1,60),ROW()-1,FALSE))</f>
        <v>3.8412199739999999</v>
      </c>
      <c r="K11">
        <f ca="1">IF(AND(ISNUMBER($K$47),$B$39=1),$K$47,HLOOKUP(INDIRECT(ADDRESS(2,COLUMN())),OFFSET($BN$2,0,0,ROW()-1,60),ROW()-1,FALSE))</f>
        <v>4.6233524910000003</v>
      </c>
      <c r="L11">
        <f ca="1">IF(AND(ISNUMBER($L$47),$B$39=1),$L$47,HLOOKUP(INDIRECT(ADDRESS(2,COLUMN())),OFFSET($BN$2,0,0,ROW()-1,60),ROW()-1,FALSE))</f>
        <v>5.1831028809999999</v>
      </c>
      <c r="M11">
        <f ca="1">IF(AND(ISNUMBER($M$47),$B$39=1),$M$47,HLOOKUP(INDIRECT(ADDRESS(2,COLUMN())),OFFSET($BN$2,0,0,ROW()-1,60),ROW()-1,FALSE))</f>
        <v>6.9612316280000002</v>
      </c>
      <c r="N11">
        <f ca="1">IF(AND(ISNUMBER($N$47),$B$39=1),$N$47,HLOOKUP(INDIRECT(ADDRESS(2,COLUMN())),OFFSET($BN$2,0,0,ROW()-1,60),ROW()-1,FALSE))</f>
        <v>6.6078547609999996</v>
      </c>
      <c r="O11">
        <f ca="1">IF(AND(ISNUMBER($O$47),$B$39=1),$O$47,HLOOKUP(INDIRECT(ADDRESS(2,COLUMN())),OFFSET($BN$2,0,0,ROW()-1,60),ROW()-1,FALSE))</f>
        <v>6.272656929</v>
      </c>
      <c r="P11">
        <f ca="1">IF(AND(ISNUMBER($P$47),$B$39=1),$P$47,HLOOKUP(INDIRECT(ADDRESS(2,COLUMN())),OFFSET($BN$2,0,0,ROW()-1,60),ROW()-1,FALSE))</f>
        <v>6.2475426470000004</v>
      </c>
      <c r="Q11">
        <f ca="1">IF(AND(ISNUMBER($Q$47),$B$39=1),$Q$47,HLOOKUP(INDIRECT(ADDRESS(2,COLUMN())),OFFSET($BN$2,0,0,ROW()-1,60),ROW()-1,FALSE))</f>
        <v>5.8289555740000001</v>
      </c>
      <c r="R11">
        <f ca="1">IF(AND(ISNUMBER($R$47),$B$39=1),$R$47,HLOOKUP(INDIRECT(ADDRESS(2,COLUMN())),OFFSET($BN$2,0,0,ROW()-1,60),ROW()-1,FALSE))</f>
        <v>5.2783519879999998</v>
      </c>
      <c r="S11">
        <f ca="1">IF(AND(ISNUMBER($S$47),$B$39=1),$S$47,HLOOKUP(INDIRECT(ADDRESS(2,COLUMN())),OFFSET($BN$2,0,0,ROW()-1,60),ROW()-1,FALSE))</f>
        <v>5.1101434240000003</v>
      </c>
      <c r="T11">
        <f ca="1">IF(AND(ISNUMBER($T$47),$B$39=1),$T$47,HLOOKUP(INDIRECT(ADDRESS(2,COLUMN())),OFFSET($BN$2,0,0,ROW()-1,60),ROW()-1,FALSE))</f>
        <v>4.3971214400000003</v>
      </c>
      <c r="U11">
        <f ca="1">IF(AND(ISNUMBER($U$47),$B$39=1),$U$47,HLOOKUP(INDIRECT(ADDRESS(2,COLUMN())),OFFSET($BN$2,0,0,ROW()-1,60),ROW()-1,FALSE))</f>
        <v>3.7003813619999999</v>
      </c>
      <c r="V11">
        <f ca="1">IF(AND(ISNUMBER($V$47),$B$39=1),$V$47,HLOOKUP(INDIRECT(ADDRESS(2,COLUMN())),OFFSET($BN$2,0,0,ROW()-1,60),ROW()-1,FALSE))</f>
        <v>4.3109157160000002</v>
      </c>
      <c r="W11">
        <f ca="1">IF(AND(ISNUMBER($W$47),$B$39=1),$W$47,HLOOKUP(INDIRECT(ADDRESS(2,COLUMN())),OFFSET($BN$2,0,0,ROW()-1,60),ROW()-1,FALSE))</f>
        <v>4.7654607579999997</v>
      </c>
      <c r="X11">
        <f ca="1">IF(AND(ISNUMBER($X$47),$B$39=1),$X$47,HLOOKUP(INDIRECT(ADDRESS(2,COLUMN())),OFFSET($BN$2,0,0,ROW()-1,60),ROW()-1,FALSE))</f>
        <v>5.5050350369999999</v>
      </c>
      <c r="Y11">
        <f ca="1">IF(AND(ISNUMBER($Y$47),$B$39=1),$Y$47,HLOOKUP(INDIRECT(ADDRESS(2,COLUMN())),OFFSET($BN$2,0,0,ROW()-1,60),ROW()-1,FALSE))</f>
        <v>5.6610013520000004</v>
      </c>
      <c r="Z11">
        <f ca="1">IF(AND(ISNUMBER($Z$47),$B$39=1),$Z$47,HLOOKUP(INDIRECT(ADDRESS(2,COLUMN())),OFFSET($BN$2,0,0,ROW()-1,60),ROW()-1,FALSE))</f>
        <v>6.7008074029999998</v>
      </c>
      <c r="AA11">
        <f ca="1">IF(AND(ISNUMBER($AA$47),$B$39=1),$AA$47,HLOOKUP(INDIRECT(ADDRESS(2,COLUMN())),OFFSET($BN$2,0,0,ROW()-1,60),ROW()-1,FALSE))</f>
        <v>7.6055373629999998</v>
      </c>
      <c r="AB11">
        <f ca="1">IF(AND(ISNUMBER($AB$47),$B$39=1),$AB$47,HLOOKUP(INDIRECT(ADDRESS(2,COLUMN())),OFFSET($BN$2,0,0,ROW()-1,60),ROW()-1,FALSE))</f>
        <v>7.2105337049999996</v>
      </c>
      <c r="AC11">
        <f ca="1">IF(AND(ISNUMBER($AC$47),$B$39=1),$AC$47,HLOOKUP(INDIRECT(ADDRESS(2,COLUMN())),OFFSET($BN$2,0,0,ROW()-1,60),ROW()-1,FALSE))</f>
        <v>8.2859923080000009</v>
      </c>
      <c r="AD11">
        <f ca="1">IF(AND(ISNUMBER($AD$47),$B$39=1),$AD$47,HLOOKUP(INDIRECT(ADDRESS(2,COLUMN())),OFFSET($BN$2,0,0,ROW()-1,60),ROW()-1,FALSE))</f>
        <v>7.7602358650000003</v>
      </c>
      <c r="AE11">
        <f ca="1">IF(AND(ISNUMBER($AE$47),$B$39=1),$AE$47,HLOOKUP(INDIRECT(ADDRESS(2,COLUMN())),OFFSET($BN$2,0,0,ROW()-1,60),ROW()-1,FALSE))</f>
        <v>7.0082794450000003</v>
      </c>
      <c r="AF11">
        <f ca="1">IF(AND(ISNUMBER($AF$47),$B$39=1),$AF$47,HLOOKUP(INDIRECT(ADDRESS(2,COLUMN())),OFFSET($BN$2,0,0,ROW()-1,60),ROW()-1,FALSE))</f>
        <v>6.1909277579999999</v>
      </c>
      <c r="AG11">
        <f ca="1">IF(AND(ISNUMBER($AG$47),$B$39=1),$AG$47,HLOOKUP(INDIRECT(ADDRESS(2,COLUMN())),OFFSET($BN$2,0,0,ROW()-1,60),ROW()-1,FALSE))</f>
        <v>5.910533118</v>
      </c>
      <c r="AH11">
        <f ca="1">IF(AND(ISNUMBER($AH$47),$B$39=1),$AH$47,HLOOKUP(INDIRECT(ADDRESS(2,COLUMN())),OFFSET($BN$2,0,0,ROW()-1,60),ROW()-1,FALSE))</f>
        <v>3.4210570630000001</v>
      </c>
      <c r="AI11">
        <f ca="1">IF(AND(ISNUMBER($AI$47),$B$39=1),$AI$47,HLOOKUP(INDIRECT(ADDRESS(2,COLUMN())),OFFSET($BN$2,0,0,ROW()-1,60),ROW()-1,FALSE))</f>
        <v>0.64830293299999997</v>
      </c>
      <c r="AJ11">
        <f ca="1">IF(AND(ISNUMBER($AJ$47),$B$39=1),$AJ$47,HLOOKUP(INDIRECT(ADDRESS(2,COLUMN())),OFFSET($BN$2,0,0,ROW()-1,60),ROW()-1,FALSE))</f>
        <v>-2.7277876060000001</v>
      </c>
      <c r="AK11">
        <f ca="1">IF(AND(ISNUMBER($AK$47),$B$39=1),$AK$47,HLOOKUP(INDIRECT(ADDRESS(2,COLUMN())),OFFSET($BN$2,0,0,ROW()-1,60),ROW()-1,FALSE))</f>
        <v>-5.6153801589999999</v>
      </c>
      <c r="AL11">
        <f ca="1">IF(AND(ISNUMBER($AL$47),$B$39=1),$AL$47,HLOOKUP(INDIRECT(ADDRESS(2,COLUMN())),OFFSET($BN$2,0,0,ROW()-1,60),ROW()-1,FALSE))</f>
        <v>-5.9562234780000001</v>
      </c>
      <c r="AM11">
        <f ca="1">IF(AND(ISNUMBER($AM$47),$B$39=1),$AM$47,HLOOKUP(INDIRECT(ADDRESS(2,COLUMN())),OFFSET($BN$2,0,0,ROW()-1,60),ROW()-1,FALSE))</f>
        <v>-5.0540186409999999</v>
      </c>
      <c r="AN11">
        <f ca="1">IF(AND(ISNUMBER($AN$47),$B$39=1),$AN$47,HLOOKUP(INDIRECT(ADDRESS(2,COLUMN())),OFFSET($BN$2,0,0,ROW()-1,60),ROW()-1,FALSE))</f>
        <v>-3.3686565900000001</v>
      </c>
      <c r="AO11">
        <f ca="1">IF(AND(ISNUMBER($AO$47),$B$39=1),$AO$47,HLOOKUP(INDIRECT(ADDRESS(2,COLUMN())),OFFSET($BN$2,0,0,ROW()-1,60),ROW()-1,FALSE))</f>
        <v>-0.79378130700000005</v>
      </c>
      <c r="AP11">
        <f ca="1">IF(AND(ISNUMBER($AP$47),$B$39=1),$AP$47,HLOOKUP(INDIRECT(ADDRESS(2,COLUMN())),OFFSET($BN$2,0,0,ROW()-1,60),ROW()-1,FALSE))</f>
        <v>1.8609920470000001</v>
      </c>
      <c r="AQ11">
        <f ca="1">IF(AND(ISNUMBER($AQ$47),$B$39=1),$AQ$47,HLOOKUP(INDIRECT(ADDRESS(2,COLUMN())),OFFSET($BN$2,0,0,ROW()-1,60),ROW()-1,FALSE))</f>
        <v>2.5697799180000001</v>
      </c>
      <c r="AR11">
        <f ca="1">IF(AND(ISNUMBER($AR$47),$B$39=1),$AR$47,HLOOKUP(INDIRECT(ADDRESS(2,COLUMN())),OFFSET($BN$2,0,0,ROW()-1,60),ROW()-1,FALSE))</f>
        <v>4.4338074970000001</v>
      </c>
      <c r="AS11">
        <f ca="1">IF(AND(ISNUMBER($AS$47),$B$39=1),$AS$47,HLOOKUP(INDIRECT(ADDRESS(2,COLUMN())),OFFSET($BN$2,0,0,ROW()-1,60),ROW()-1,FALSE))</f>
        <v>3.8521864099999998</v>
      </c>
      <c r="AT11">
        <f ca="1">IF(AND(ISNUMBER($AT$47),$B$39=1),$AT$47,HLOOKUP(INDIRECT(ADDRESS(2,COLUMN())),OFFSET($BN$2,0,0,ROW()-1,60),ROW()-1,FALSE))</f>
        <v>5.0587237030000001</v>
      </c>
      <c r="AU11">
        <f ca="1">IF(AND(ISNUMBER($AU$47),$B$39=1),$AU$47,HLOOKUP(INDIRECT(ADDRESS(2,COLUMN())),OFFSET($BN$2,0,0,ROW()-1,60),ROW()-1,FALSE))</f>
        <v>5.7462350840000003</v>
      </c>
      <c r="AV11">
        <f ca="1">IF(AND(ISNUMBER($AV$47),$B$39=1),$AV$47,HLOOKUP(INDIRECT(ADDRESS(2,COLUMN())),OFFSET($BN$2,0,0,ROW()-1,60),ROW()-1,FALSE))</f>
        <v>5.2134984859999998</v>
      </c>
      <c r="AW11">
        <f ca="1">IF(AND(ISNUMBER($AW$47),$B$39=1),$AW$47,HLOOKUP(INDIRECT(ADDRESS(2,COLUMN())),OFFSET($BN$2,0,0,ROW()-1,60),ROW()-1,FALSE))</f>
        <v>6.5175813380000003</v>
      </c>
      <c r="AX11">
        <f ca="1">IF(AND(ISNUMBER($AX$47),$B$39=1),$AX$47,HLOOKUP(INDIRECT(ADDRESS(2,COLUMN())),OFFSET($BN$2,0,0,ROW()-1,60),ROW()-1,FALSE))</f>
        <v>6.8905610380000004</v>
      </c>
      <c r="AY11">
        <f ca="1">IF(AND(ISNUMBER($AY$47),$B$39=1),$AY$47,HLOOKUP(INDIRECT(ADDRESS(2,COLUMN())),OFFSET($BN$2,0,0,ROW()-1,60),ROW()-1,FALSE))</f>
        <v>7.7267694770000004</v>
      </c>
      <c r="AZ11">
        <f ca="1">IF(AND(ISNUMBER($AZ$47),$B$39=1),$AZ$47,HLOOKUP(INDIRECT(ADDRESS(2,COLUMN())),OFFSET($BN$2,0,0,ROW()-1,60),ROW()-1,FALSE))</f>
        <v>8.3708922670000003</v>
      </c>
      <c r="BA11">
        <f ca="1">IF(AND(ISNUMBER($BA$47),$B$39=1),$BA$47,HLOOKUP(INDIRECT(ADDRESS(2,COLUMN())),OFFSET($BN$2,0,0,ROW()-1,60),ROW()-1,FALSE))</f>
        <v>7.3341756719999998</v>
      </c>
      <c r="BB11">
        <f ca="1">IF(AND(ISNUMBER($BB$47),$B$39=1),$BB$47,HLOOKUP(INDIRECT(ADDRESS(2,COLUMN())),OFFSET($BN$2,0,0,ROW()-1,60),ROW()-1,FALSE))</f>
        <v>6.6113562229999996</v>
      </c>
      <c r="BC11">
        <f ca="1">IF(AND(ISNUMBER($BC$47),$B$39=1),$BC$47,HLOOKUP(INDIRECT(ADDRESS(2,COLUMN())),OFFSET($BN$2,0,0,ROW()-1,60),ROW()-1,FALSE))</f>
        <v>4.4140333319999998</v>
      </c>
      <c r="BD11">
        <f ca="1">IF(AND(ISNUMBER($BD$47),$B$39=1),$BD$47,HLOOKUP(INDIRECT(ADDRESS(2,COLUMN())),OFFSET($BN$2,0,0,ROW()-1,60),ROW()-1,FALSE))</f>
        <v>2.976706622</v>
      </c>
      <c r="BE11">
        <f ca="1">IF(AND(ISNUMBER($BE$47),$B$39=1),$BE$47,HLOOKUP(INDIRECT(ADDRESS(2,COLUMN())),OFFSET($BN$2,0,0,ROW()-1,60),ROW()-1,FALSE))</f>
        <v>1.5592200620000001</v>
      </c>
      <c r="BF11">
        <f ca="1">IF(AND(ISNUMBER($BF$47),$B$39=1),$BF$47,HLOOKUP(INDIRECT(ADDRESS(2,COLUMN())),OFFSET($BN$2,0,0,ROW()-1,60),ROW()-1,FALSE))</f>
        <v>0.20350663899999999</v>
      </c>
      <c r="BG11">
        <f ca="1">IF(AND(ISNUMBER($BG$47),$B$39=1),$BG$47,HLOOKUP(INDIRECT(ADDRESS(2,COLUMN())),OFFSET($BN$2,0,0,ROW()-1,60),ROW()-1,FALSE))</f>
        <v>-0.77643376900000005</v>
      </c>
      <c r="BH11">
        <f ca="1">IF(AND(ISNUMBER($BH$47),$B$39=1),$BH$47,HLOOKUP(INDIRECT(ADDRESS(2,COLUMN())),OFFSET($BN$2,0,0,ROW()-1,60),ROW()-1,FALSE))</f>
        <v>-1.8822800630000001</v>
      </c>
      <c r="BI11">
        <f ca="1">IF(AND(ISNUMBER($BI$47),$B$39=1),$BI$47,HLOOKUP(INDIRECT(ADDRESS(2,COLUMN())),OFFSET($BN$2,0,0,ROW()-1,60),ROW()-1,FALSE))</f>
        <v>-2.0704315389999999</v>
      </c>
      <c r="BJ11">
        <f ca="1">IF(AND(ISNUMBER($BJ$47),$B$39=1),$BJ$47,HLOOKUP(INDIRECT(ADDRESS(2,COLUMN())),OFFSET($BN$2,0,0,ROW()-1,60),ROW()-1,FALSE))</f>
        <v>-3.881378437</v>
      </c>
      <c r="BK11">
        <f ca="1">IF(AND(ISNUMBER($BK$47),$B$39=1),$BK$47,HLOOKUP(INDIRECT(ADDRESS(2,COLUMN())),OFFSET($BN$2,0,0,ROW()-1,60),ROW()-1,FALSE))</f>
        <v>-4.9131365599999999</v>
      </c>
      <c r="BL11">
        <f ca="1">IF(AND(ISNUMBER($BL$47),$B$39=1),$BL$47,HLOOKUP(INDIRECT(ADDRESS(2,COLUMN())),OFFSET($BN$2,0,0,ROW()-1,60),ROW()-1,FALSE))</f>
        <v>-6.2663777170000001</v>
      </c>
      <c r="BM11">
        <f ca="1">IF(AND(ISNUMBER($BM$47),$B$39=1),$BM$47,HLOOKUP(INDIRECT(ADDRESS(2,COLUMN())),OFFSET($BN$2,0,0,ROW()-1,60),ROW()-1,FALSE))</f>
        <v>-8.6373337390000007</v>
      </c>
      <c r="BN11">
        <f>2.604345872</f>
        <v>2.6043458720000001</v>
      </c>
      <c r="BO11">
        <f>2.45378638</f>
        <v>2.4537863799999999</v>
      </c>
      <c r="BP11">
        <f>2.878636516</f>
        <v>2.8786365159999998</v>
      </c>
      <c r="BQ11">
        <f>3.422078636</f>
        <v>3.4220786360000002</v>
      </c>
      <c r="BR11">
        <f>3.841219974</f>
        <v>3.8412199739999999</v>
      </c>
      <c r="BS11">
        <f>4.623352491</f>
        <v>4.6233524910000003</v>
      </c>
      <c r="BT11">
        <f>5.183102881</f>
        <v>5.1831028809999999</v>
      </c>
      <c r="BU11">
        <f>6.961231628</f>
        <v>6.9612316280000002</v>
      </c>
      <c r="BV11">
        <f>6.607854761</f>
        <v>6.6078547609999996</v>
      </c>
      <c r="BW11">
        <f>6.272656929</f>
        <v>6.272656929</v>
      </c>
      <c r="BX11">
        <f>6.247542647</f>
        <v>6.2475426470000004</v>
      </c>
      <c r="BY11">
        <f>5.828955574</f>
        <v>5.8289555740000001</v>
      </c>
      <c r="BZ11">
        <f>5.278351988</f>
        <v>5.2783519879999998</v>
      </c>
      <c r="CA11">
        <f>5.110143424</f>
        <v>5.1101434240000003</v>
      </c>
      <c r="CB11">
        <f>4.39712144</f>
        <v>4.3971214400000003</v>
      </c>
      <c r="CC11">
        <f>3.700381362</f>
        <v>3.7003813619999999</v>
      </c>
      <c r="CD11">
        <f>4.310915716</f>
        <v>4.3109157160000002</v>
      </c>
      <c r="CE11">
        <f>4.765460758</f>
        <v>4.7654607579999997</v>
      </c>
      <c r="CF11">
        <f>5.505035037</f>
        <v>5.5050350369999999</v>
      </c>
      <c r="CG11">
        <f>5.661001352</f>
        <v>5.6610013520000004</v>
      </c>
      <c r="CH11">
        <f>6.700807403</f>
        <v>6.7008074029999998</v>
      </c>
      <c r="CI11">
        <f>7.605537363</f>
        <v>7.6055373629999998</v>
      </c>
      <c r="CJ11">
        <f>7.210533705</f>
        <v>7.2105337049999996</v>
      </c>
      <c r="CK11">
        <f>8.285992308</f>
        <v>8.2859923080000009</v>
      </c>
      <c r="CL11">
        <f>7.760235865</f>
        <v>7.7602358650000003</v>
      </c>
      <c r="CM11">
        <f>7.008279445</f>
        <v>7.0082794450000003</v>
      </c>
      <c r="CN11">
        <f>6.190927758</f>
        <v>6.1909277579999999</v>
      </c>
      <c r="CO11">
        <f>5.910533118</f>
        <v>5.910533118</v>
      </c>
      <c r="CP11">
        <f>3.421057063</f>
        <v>3.4210570630000001</v>
      </c>
      <c r="CQ11">
        <f>0.648302933</f>
        <v>0.64830293299999997</v>
      </c>
      <c r="CR11">
        <f>-2.727787606</f>
        <v>-2.7277876060000001</v>
      </c>
      <c r="CS11">
        <f>-5.615380159</f>
        <v>-5.6153801589999999</v>
      </c>
      <c r="CT11">
        <f>-5.956223478</f>
        <v>-5.9562234780000001</v>
      </c>
      <c r="CU11">
        <f>-5.054018641</f>
        <v>-5.0540186409999999</v>
      </c>
      <c r="CV11">
        <f>-3.36865659</f>
        <v>-3.3686565900000001</v>
      </c>
      <c r="CW11">
        <f>-0.793781307</f>
        <v>-0.79378130700000005</v>
      </c>
      <c r="CX11">
        <f>1.860992047</f>
        <v>1.8609920470000001</v>
      </c>
      <c r="CY11">
        <f>2.569779918</f>
        <v>2.5697799180000001</v>
      </c>
      <c r="CZ11">
        <f>4.433807497</f>
        <v>4.4338074970000001</v>
      </c>
      <c r="DA11">
        <f>3.85218641</f>
        <v>3.8521864099999998</v>
      </c>
      <c r="DB11">
        <f>5.058723703</f>
        <v>5.0587237030000001</v>
      </c>
      <c r="DC11">
        <f>5.746235084</f>
        <v>5.7462350840000003</v>
      </c>
      <c r="DD11">
        <f>5.213498486</f>
        <v>5.2134984859999998</v>
      </c>
      <c r="DE11">
        <f>6.517581338</f>
        <v>6.5175813380000003</v>
      </c>
      <c r="DF11">
        <f>6.890561038</f>
        <v>6.8905610380000004</v>
      </c>
      <c r="DG11">
        <f>7.726769477</f>
        <v>7.7267694770000004</v>
      </c>
      <c r="DH11">
        <f>8.370892267</f>
        <v>8.3708922670000003</v>
      </c>
      <c r="DI11">
        <f>7.334175672</f>
        <v>7.3341756719999998</v>
      </c>
      <c r="DJ11">
        <f>6.611356223</f>
        <v>6.6113562229999996</v>
      </c>
      <c r="DK11">
        <f>4.414033332</f>
        <v>4.4140333319999998</v>
      </c>
      <c r="DL11">
        <f>2.976706622</f>
        <v>2.976706622</v>
      </c>
      <c r="DM11">
        <f>1.559220062</f>
        <v>1.5592200620000001</v>
      </c>
      <c r="DN11">
        <f>0.203506639</f>
        <v>0.20350663899999999</v>
      </c>
      <c r="DO11">
        <f>-0.776433769</f>
        <v>-0.77643376900000005</v>
      </c>
      <c r="DP11">
        <f>-1.882280063</f>
        <v>-1.8822800630000001</v>
      </c>
      <c r="DQ11">
        <f>-2.070431539</f>
        <v>-2.0704315389999999</v>
      </c>
      <c r="DR11">
        <f>-3.881378437</f>
        <v>-3.881378437</v>
      </c>
      <c r="DS11">
        <f>-4.91313656</f>
        <v>-4.9131365599999999</v>
      </c>
      <c r="DT11">
        <f>-6.266377717</f>
        <v>-6.2663777170000001</v>
      </c>
      <c r="DU11">
        <f>-8.637333739</f>
        <v>-8.6373337390000007</v>
      </c>
    </row>
    <row r="12" spans="1:125">
      <c r="A12" t="str">
        <f>"    公寓房地产投资信托总股利支付"</f>
        <v xml:space="preserve">    公寓房地产投资信托总股利支付</v>
      </c>
      <c r="B12" t="str">
        <f>"RECFTDAP Index"</f>
        <v>RECFTDAP Index</v>
      </c>
      <c r="C12" t="str">
        <f>"PR005"</f>
        <v>PR005</v>
      </c>
      <c r="D12" t="str">
        <f>"PX_LAST"</f>
        <v>PX_LAST</v>
      </c>
      <c r="E12" t="str">
        <f>"动态"</f>
        <v>动态</v>
      </c>
      <c r="F12">
        <f ca="1">IF(AND(ISNUMBER($F$48),$B$39=1),$F$48,HLOOKUP(INDIRECT(ADDRESS(2,COLUMN())),OFFSET($BN$2,0,0,ROW()-1,60),ROW()-1,FALSE))</f>
        <v>1075.9775500000001</v>
      </c>
      <c r="G12">
        <f ca="1">IF(AND(ISNUMBER($G$48),$B$39=1),$G$48,HLOOKUP(INDIRECT(ADDRESS(2,COLUMN())),OFFSET($BN$2,0,0,ROW()-1,60),ROW()-1,FALSE))</f>
        <v>1054.354</v>
      </c>
      <c r="H12">
        <f ca="1">IF(AND(ISNUMBER($H$48),$B$39=1),$H$48,HLOOKUP(INDIRECT(ADDRESS(2,COLUMN())),OFFSET($BN$2,0,0,ROW()-1,60),ROW()-1,FALSE))</f>
        <v>1020.494</v>
      </c>
      <c r="I12">
        <f ca="1">IF(AND(ISNUMBER($I$48),$B$39=1),$I$48,HLOOKUP(INDIRECT(ADDRESS(2,COLUMN())),OFFSET($BN$2,0,0,ROW()-1,60),ROW()-1,FALSE))</f>
        <v>990.07899999999995</v>
      </c>
      <c r="J12">
        <f ca="1">IF(AND(ISNUMBER($J$48),$B$39=1),$J$48,HLOOKUP(INDIRECT(ADDRESS(2,COLUMN())),OFFSET($BN$2,0,0,ROW()-1,60),ROW()-1,FALSE))</f>
        <v>2077.6089999999999</v>
      </c>
      <c r="K12">
        <f ca="1">IF(AND(ISNUMBER($K$48),$B$39=1),$K$48,HLOOKUP(INDIRECT(ADDRESS(2,COLUMN())),OFFSET($BN$2,0,0,ROW()-1,60),ROW()-1,FALSE))</f>
        <v>1365.3869999999999</v>
      </c>
      <c r="L12">
        <f ca="1">IF(AND(ISNUMBER($L$48),$B$39=1),$L$48,HLOOKUP(INDIRECT(ADDRESS(2,COLUMN())),OFFSET($BN$2,0,0,ROW()-1,60),ROW()-1,FALSE))</f>
        <v>941.64599999999996</v>
      </c>
      <c r="M12">
        <f ca="1">IF(AND(ISNUMBER($M$48),$B$39=1),$M$48,HLOOKUP(INDIRECT(ADDRESS(2,COLUMN())),OFFSET($BN$2,0,0,ROW()-1,60),ROW()-1,FALSE))</f>
        <v>3969.8850000000002</v>
      </c>
      <c r="N12">
        <f ca="1">IF(AND(ISNUMBER($N$48),$B$39=1),$N$48,HLOOKUP(INDIRECT(ADDRESS(2,COLUMN())),OFFSET($BN$2,0,0,ROW()-1,60),ROW()-1,FALSE))</f>
        <v>884.58500000000004</v>
      </c>
      <c r="O12">
        <f ca="1">IF(AND(ISNUMBER($O$48),$B$39=1),$O$48,HLOOKUP(INDIRECT(ADDRESS(2,COLUMN())),OFFSET($BN$2,0,0,ROW()-1,60),ROW()-1,FALSE))</f>
        <v>882.11199999999997</v>
      </c>
      <c r="P12">
        <f ca="1">IF(AND(ISNUMBER($P$48),$B$39=1),$P$48,HLOOKUP(INDIRECT(ADDRESS(2,COLUMN())),OFFSET($BN$2,0,0,ROW()-1,60),ROW()-1,FALSE))</f>
        <v>950.46500000000003</v>
      </c>
      <c r="Q12">
        <f ca="1">IF(AND(ISNUMBER($Q$48),$B$39=1),$Q$48,HLOOKUP(INDIRECT(ADDRESS(2,COLUMN())),OFFSET($BN$2,0,0,ROW()-1,60),ROW()-1,FALSE))</f>
        <v>889.70600000000002</v>
      </c>
      <c r="R12">
        <f ca="1">IF(AND(ISNUMBER($R$48),$B$39=1),$R$48,HLOOKUP(INDIRECT(ADDRESS(2,COLUMN())),OFFSET($BN$2,0,0,ROW()-1,60),ROW()-1,FALSE))</f>
        <v>861.52599999999995</v>
      </c>
      <c r="S12">
        <f ca="1">IF(AND(ISNUMBER($S$48),$B$39=1),$S$48,HLOOKUP(INDIRECT(ADDRESS(2,COLUMN())),OFFSET($BN$2,0,0,ROW()-1,60),ROW()-1,FALSE))</f>
        <v>860.25800000000004</v>
      </c>
      <c r="T12">
        <f ca="1">IF(AND(ISNUMBER($T$48),$B$39=1),$T$48,HLOOKUP(INDIRECT(ADDRESS(2,COLUMN())),OFFSET($BN$2,0,0,ROW()-1,60),ROW()-1,FALSE))</f>
        <v>735.43</v>
      </c>
      <c r="U12">
        <f ca="1">IF(AND(ISNUMBER($U$48),$B$39=1),$U$48,HLOOKUP(INDIRECT(ADDRESS(2,COLUMN())),OFFSET($BN$2,0,0,ROW()-1,60),ROW()-1,FALSE))</f>
        <v>880.279</v>
      </c>
      <c r="V12">
        <f ca="1">IF(AND(ISNUMBER($V$48),$B$39=1),$V$48,HLOOKUP(INDIRECT(ADDRESS(2,COLUMN())),OFFSET($BN$2,0,0,ROW()-1,60),ROW()-1,FALSE))</f>
        <v>748.65099999999995</v>
      </c>
      <c r="W12">
        <f ca="1">IF(AND(ISNUMBER($W$48),$B$39=1),$W$48,HLOOKUP(INDIRECT(ADDRESS(2,COLUMN())),OFFSET($BN$2,0,0,ROW()-1,60),ROW()-1,FALSE))</f>
        <v>724.23699999999997</v>
      </c>
      <c r="X12">
        <f ca="1">IF(AND(ISNUMBER($X$48),$B$39=1),$X$48,HLOOKUP(INDIRECT(ADDRESS(2,COLUMN())),OFFSET($BN$2,0,0,ROW()-1,60),ROW()-1,FALSE))</f>
        <v>719.59199999999998</v>
      </c>
      <c r="Y12">
        <f ca="1">IF(AND(ISNUMBER($Y$48),$B$39=1),$Y$48,HLOOKUP(INDIRECT(ADDRESS(2,COLUMN())),OFFSET($BN$2,0,0,ROW()-1,60),ROW()-1,FALSE))</f>
        <v>785.21600000000001</v>
      </c>
      <c r="Z12">
        <f ca="1">IF(AND(ISNUMBER($Z$48),$B$39=1),$Z$48,HLOOKUP(INDIRECT(ADDRESS(2,COLUMN())),OFFSET($BN$2,0,0,ROW()-1,60),ROW()-1,FALSE))</f>
        <v>605.64400000000001</v>
      </c>
      <c r="AA12">
        <f ca="1">IF(AND(ISNUMBER($AA$48),$B$39=1),$AA$48,HLOOKUP(INDIRECT(ADDRESS(2,COLUMN())),OFFSET($BN$2,0,0,ROW()-1,60),ROW()-1,FALSE))</f>
        <v>593.48699999999997</v>
      </c>
      <c r="AB12">
        <f ca="1">IF(AND(ISNUMBER($AB$48),$B$39=1),$AB$48,HLOOKUP(INDIRECT(ADDRESS(2,COLUMN())),OFFSET($BN$2,0,0,ROW()-1,60),ROW()-1,FALSE))</f>
        <v>577.33299999999997</v>
      </c>
      <c r="AC12">
        <f ca="1">IF(AND(ISNUMBER($AC$48),$B$39=1),$AC$48,HLOOKUP(INDIRECT(ADDRESS(2,COLUMN())),OFFSET($BN$2,0,0,ROW()-1,60),ROW()-1,FALSE))</f>
        <v>621.71299999999997</v>
      </c>
      <c r="AD12">
        <f ca="1">IF(AND(ISNUMBER($AD$48),$B$39=1),$AD$48,HLOOKUP(INDIRECT(ADDRESS(2,COLUMN())),OFFSET($BN$2,0,0,ROW()-1,60),ROW()-1,FALSE))</f>
        <v>524.72400000000005</v>
      </c>
      <c r="AE12">
        <f ca="1">IF(AND(ISNUMBER($AE$48),$B$39=1),$AE$48,HLOOKUP(INDIRECT(ADDRESS(2,COLUMN())),OFFSET($BN$2,0,0,ROW()-1,60),ROW()-1,FALSE))</f>
        <v>513.50300000000004</v>
      </c>
      <c r="AF12">
        <f ca="1">IF(AND(ISNUMBER($AF$48),$B$39=1),$AF$48,HLOOKUP(INDIRECT(ADDRESS(2,COLUMN())),OFFSET($BN$2,0,0,ROW()-1,60),ROW()-1,FALSE))</f>
        <v>490.517</v>
      </c>
      <c r="AG12">
        <f ca="1">IF(AND(ISNUMBER($AG$48),$B$39=1),$AG$48,HLOOKUP(INDIRECT(ADDRESS(2,COLUMN())),OFFSET($BN$2,0,0,ROW()-1,60),ROW()-1,FALSE))</f>
        <v>513.255</v>
      </c>
      <c r="AH12">
        <f ca="1">IF(AND(ISNUMBER($AH$48),$B$39=1),$AH$48,HLOOKUP(INDIRECT(ADDRESS(2,COLUMN())),OFFSET($BN$2,0,0,ROW()-1,60),ROW()-1,FALSE))</f>
        <v>464.17599999999999</v>
      </c>
      <c r="AI12">
        <f ca="1">IF(AND(ISNUMBER($AI$48),$B$39=1),$AI$48,HLOOKUP(INDIRECT(ADDRESS(2,COLUMN())),OFFSET($BN$2,0,0,ROW()-1,60),ROW()-1,FALSE))</f>
        <v>459.471</v>
      </c>
      <c r="AJ12">
        <f ca="1">IF(AND(ISNUMBER($AJ$48),$B$39=1),$AJ$48,HLOOKUP(INDIRECT(ADDRESS(2,COLUMN())),OFFSET($BN$2,0,0,ROW()-1,60),ROW()-1,FALSE))</f>
        <v>454.82</v>
      </c>
      <c r="AK12">
        <f ca="1">IF(AND(ISNUMBER($AK$48),$B$39=1),$AK$48,HLOOKUP(INDIRECT(ADDRESS(2,COLUMN())),OFFSET($BN$2,0,0,ROW()-1,60),ROW()-1,FALSE))</f>
        <v>438.79199999999997</v>
      </c>
      <c r="AL12">
        <f ca="1">IF(AND(ISNUMBER($AL$48),$B$39=1),$AL$48,HLOOKUP(INDIRECT(ADDRESS(2,COLUMN())),OFFSET($BN$2,0,0,ROW()-1,60),ROW()-1,FALSE))</f>
        <v>452.55700000000002</v>
      </c>
      <c r="AM12">
        <f ca="1">IF(AND(ISNUMBER($AM$48),$B$39=1),$AM$48,HLOOKUP(INDIRECT(ADDRESS(2,COLUMN())),OFFSET($BN$2,0,0,ROW()-1,60),ROW()-1,FALSE))</f>
        <v>483.82</v>
      </c>
      <c r="AN12">
        <f ca="1">IF(AND(ISNUMBER($AN$48),$B$39=1),$AN$48,HLOOKUP(INDIRECT(ADDRESS(2,COLUMN())),OFFSET($BN$2,0,0,ROW()-1,60),ROW()-1,FALSE))</f>
        <v>522.31600000000003</v>
      </c>
      <c r="AO12">
        <f ca="1">IF(AND(ISNUMBER($AO$48),$B$39=1),$AO$48,HLOOKUP(INDIRECT(ADDRESS(2,COLUMN())),OFFSET($BN$2,0,0,ROW()-1,60),ROW()-1,FALSE))</f>
        <v>610.16099999999994</v>
      </c>
      <c r="AP12">
        <f ca="1">IF(AND(ISNUMBER($AP$48),$B$39=1),$AP$48,HLOOKUP(INDIRECT(ADDRESS(2,COLUMN())),OFFSET($BN$2,0,0,ROW()-1,60),ROW()-1,FALSE))</f>
        <v>681.79650000000004</v>
      </c>
      <c r="AQ12">
        <f ca="1">IF(AND(ISNUMBER($AQ$48),$B$39=1),$AQ$48,HLOOKUP(INDIRECT(ADDRESS(2,COLUMN())),OFFSET($BN$2,0,0,ROW()-1,60),ROW()-1,FALSE))</f>
        <v>665.43200000000002</v>
      </c>
      <c r="AR12">
        <f ca="1">IF(AND(ISNUMBER($AR$48),$B$39=1),$AR$48,HLOOKUP(INDIRECT(ADDRESS(2,COLUMN())),OFFSET($BN$2,0,0,ROW()-1,60),ROW()-1,FALSE))</f>
        <v>636.99199999999996</v>
      </c>
      <c r="AS12">
        <f ca="1">IF(AND(ISNUMBER($AS$48),$B$39=1),$AS$48,HLOOKUP(INDIRECT(ADDRESS(2,COLUMN())),OFFSET($BN$2,0,0,ROW()-1,60),ROW()-1,FALSE))</f>
        <v>617.07100000000003</v>
      </c>
      <c r="AT12">
        <f ca="1">IF(AND(ISNUMBER($AT$48),$B$39=1),$AT$48,HLOOKUP(INDIRECT(ADDRESS(2,COLUMN())),OFFSET($BN$2,0,0,ROW()-1,60),ROW()-1,FALSE))</f>
        <v>700.17449999999997</v>
      </c>
      <c r="AU12">
        <f ca="1">IF(AND(ISNUMBER($AU$48),$B$39=1),$AU$48,HLOOKUP(INDIRECT(ADDRESS(2,COLUMN())),OFFSET($BN$2,0,0,ROW()-1,60),ROW()-1,FALSE))</f>
        <v>636.17600000000004</v>
      </c>
      <c r="AV12">
        <f ca="1">IF(AND(ISNUMBER($AV$48),$B$39=1),$AV$48,HLOOKUP(INDIRECT(ADDRESS(2,COLUMN())),OFFSET($BN$2,0,0,ROW()-1,60),ROW()-1,FALSE))</f>
        <v>713.71900000000005</v>
      </c>
      <c r="AW12">
        <f ca="1">IF(AND(ISNUMBER($AW$48),$B$39=1),$AW$48,HLOOKUP(INDIRECT(ADDRESS(2,COLUMN())),OFFSET($BN$2,0,0,ROW()-1,60),ROW()-1,FALSE))</f>
        <v>752.51099999999997</v>
      </c>
      <c r="AX12">
        <f ca="1">IF(AND(ISNUMBER($AX$48),$B$39=1),$AX$48,HLOOKUP(INDIRECT(ADDRESS(2,COLUMN())),OFFSET($BN$2,0,0,ROW()-1,60),ROW()-1,FALSE))</f>
        <v>675.58600000000001</v>
      </c>
      <c r="AY12">
        <f ca="1">IF(AND(ISNUMBER($AY$48),$B$39=1),$AY$48,HLOOKUP(INDIRECT(ADDRESS(2,COLUMN())),OFFSET($BN$2,0,0,ROW()-1,60),ROW()-1,FALSE))</f>
        <v>688.08100000000002</v>
      </c>
      <c r="AZ12">
        <f ca="1">IF(AND(ISNUMBER($AZ$48),$B$39=1),$AZ$48,HLOOKUP(INDIRECT(ADDRESS(2,COLUMN())),OFFSET($BN$2,0,0,ROW()-1,60),ROW()-1,FALSE))</f>
        <v>696.98699999999997</v>
      </c>
      <c r="BA12">
        <f ca="1">IF(AND(ISNUMBER($BA$48),$B$39=1),$BA$48,HLOOKUP(INDIRECT(ADDRESS(2,COLUMN())),OFFSET($BN$2,0,0,ROW()-1,60),ROW()-1,FALSE))</f>
        <v>683.07100000000003</v>
      </c>
      <c r="BB12">
        <f ca="1">IF(AND(ISNUMBER($BB$48),$B$39=1),$BB$48,HLOOKUP(INDIRECT(ADDRESS(2,COLUMN())),OFFSET($BN$2,0,0,ROW()-1,60),ROW()-1,FALSE))</f>
        <v>677.09900000000005</v>
      </c>
      <c r="BC12">
        <f ca="1">IF(AND(ISNUMBER($BC$48),$B$39=1),$BC$48,HLOOKUP(INDIRECT(ADDRESS(2,COLUMN())),OFFSET($BN$2,0,0,ROW()-1,60),ROW()-1,FALSE))</f>
        <v>673.55600000000004</v>
      </c>
      <c r="BD12">
        <f ca="1">IF(AND(ISNUMBER($BD$48),$B$39=1),$BD$48,HLOOKUP(INDIRECT(ADDRESS(2,COLUMN())),OFFSET($BN$2,0,0,ROW()-1,60),ROW()-1,FALSE))</f>
        <v>670.16899999999998</v>
      </c>
      <c r="BE12">
        <f ca="1">IF(AND(ISNUMBER($BE$48),$B$39=1),$BE$48,HLOOKUP(INDIRECT(ADDRESS(2,COLUMN())),OFFSET($BN$2,0,0,ROW()-1,60),ROW()-1,FALSE))</f>
        <v>707.91099999999994</v>
      </c>
      <c r="BF12">
        <f ca="1">IF(AND(ISNUMBER($BF$48),$B$39=1),$BF$48,HLOOKUP(INDIRECT(ADDRESS(2,COLUMN())),OFFSET($BN$2,0,0,ROW()-1,60),ROW()-1,FALSE))</f>
        <v>914.15200000000004</v>
      </c>
      <c r="BG12">
        <f ca="1">IF(AND(ISNUMBER($BG$48),$B$39=1),$BG$48,HLOOKUP(INDIRECT(ADDRESS(2,COLUMN())),OFFSET($BN$2,0,0,ROW()-1,60),ROW()-1,FALSE))</f>
        <v>700.98500000000001</v>
      </c>
      <c r="BH12">
        <f ca="1">IF(AND(ISNUMBER($BH$48),$B$39=1),$BH$48,HLOOKUP(INDIRECT(ADDRESS(2,COLUMN())),OFFSET($BN$2,0,0,ROW()-1,60),ROW()-1,FALSE))</f>
        <v>714.76700000000005</v>
      </c>
      <c r="BI12">
        <f ca="1">IF(AND(ISNUMBER($BI$48),$B$39=1),$BI$48,HLOOKUP(INDIRECT(ADDRESS(2,COLUMN())),OFFSET($BN$2,0,0,ROW()-1,60),ROW()-1,FALSE))</f>
        <v>685.36800000000005</v>
      </c>
      <c r="BJ12">
        <f ca="1">IF(AND(ISNUMBER($BJ$48),$B$39=1),$BJ$48,HLOOKUP(INDIRECT(ADDRESS(2,COLUMN())),OFFSET($BN$2,0,0,ROW()-1,60),ROW()-1,FALSE))</f>
        <v>676.375</v>
      </c>
      <c r="BK12">
        <f ca="1">IF(AND(ISNUMBER($BK$48),$B$39=1),$BK$48,HLOOKUP(INDIRECT(ADDRESS(2,COLUMN())),OFFSET($BN$2,0,0,ROW()-1,60),ROW()-1,FALSE))</f>
        <v>691.69299999999998</v>
      </c>
      <c r="BL12">
        <f ca="1">IF(AND(ISNUMBER($BL$48),$B$39=1),$BL$48,HLOOKUP(INDIRECT(ADDRESS(2,COLUMN())),OFFSET($BN$2,0,0,ROW()-1,60),ROW()-1,FALSE))</f>
        <v>689.94100000000003</v>
      </c>
      <c r="BM12">
        <f ca="1">IF(AND(ISNUMBER($BM$48),$B$39=1),$BM$48,HLOOKUP(INDIRECT(ADDRESS(2,COLUMN())),OFFSET($BN$2,0,0,ROW()-1,60),ROW()-1,FALSE))</f>
        <v>700.70699999999999</v>
      </c>
      <c r="BN12">
        <f>1075.97755</f>
        <v>1075.9775500000001</v>
      </c>
      <c r="BO12">
        <f>1054.354</f>
        <v>1054.354</v>
      </c>
      <c r="BP12">
        <f>1020.494</f>
        <v>1020.494</v>
      </c>
      <c r="BQ12">
        <f>990.079</f>
        <v>990.07899999999995</v>
      </c>
      <c r="BR12">
        <f>2077.609</f>
        <v>2077.6089999999999</v>
      </c>
      <c r="BS12">
        <f>1365.387</f>
        <v>1365.3869999999999</v>
      </c>
      <c r="BT12">
        <f>941.646</f>
        <v>941.64599999999996</v>
      </c>
      <c r="BU12">
        <f>3969.885</f>
        <v>3969.8850000000002</v>
      </c>
      <c r="BV12">
        <f>884.585</f>
        <v>884.58500000000004</v>
      </c>
      <c r="BW12">
        <f>882.112</f>
        <v>882.11199999999997</v>
      </c>
      <c r="BX12">
        <f>950.465</f>
        <v>950.46500000000003</v>
      </c>
      <c r="BY12">
        <f>889.706</f>
        <v>889.70600000000002</v>
      </c>
      <c r="BZ12">
        <f>861.526</f>
        <v>861.52599999999995</v>
      </c>
      <c r="CA12">
        <f>860.258</f>
        <v>860.25800000000004</v>
      </c>
      <c r="CB12">
        <f>735.43</f>
        <v>735.43</v>
      </c>
      <c r="CC12">
        <f>880.279</f>
        <v>880.279</v>
      </c>
      <c r="CD12">
        <f>748.651</f>
        <v>748.65099999999995</v>
      </c>
      <c r="CE12">
        <f>724.237</f>
        <v>724.23699999999997</v>
      </c>
      <c r="CF12">
        <f>719.592</f>
        <v>719.59199999999998</v>
      </c>
      <c r="CG12">
        <f>785.216</f>
        <v>785.21600000000001</v>
      </c>
      <c r="CH12">
        <f>605.644</f>
        <v>605.64400000000001</v>
      </c>
      <c r="CI12">
        <f>593.487</f>
        <v>593.48699999999997</v>
      </c>
      <c r="CJ12">
        <f>577.333</f>
        <v>577.33299999999997</v>
      </c>
      <c r="CK12">
        <f>621.713</f>
        <v>621.71299999999997</v>
      </c>
      <c r="CL12">
        <f>524.724</f>
        <v>524.72400000000005</v>
      </c>
      <c r="CM12">
        <f>513.503</f>
        <v>513.50300000000004</v>
      </c>
      <c r="CN12">
        <f>490.517</f>
        <v>490.517</v>
      </c>
      <c r="CO12">
        <f>513.255</f>
        <v>513.255</v>
      </c>
      <c r="CP12">
        <f>464.176</f>
        <v>464.17599999999999</v>
      </c>
      <c r="CQ12">
        <f>459.471</f>
        <v>459.471</v>
      </c>
      <c r="CR12">
        <f>454.82</f>
        <v>454.82</v>
      </c>
      <c r="CS12">
        <f>438.792</f>
        <v>438.79199999999997</v>
      </c>
      <c r="CT12">
        <f>452.557</f>
        <v>452.55700000000002</v>
      </c>
      <c r="CU12">
        <f>483.82</f>
        <v>483.82</v>
      </c>
      <c r="CV12">
        <f>522.316</f>
        <v>522.31600000000003</v>
      </c>
      <c r="CW12">
        <f>610.161</f>
        <v>610.16099999999994</v>
      </c>
      <c r="CX12">
        <f>681.7965</f>
        <v>681.79650000000004</v>
      </c>
      <c r="CY12">
        <f>665.432</f>
        <v>665.43200000000002</v>
      </c>
      <c r="CZ12">
        <f>636.992</f>
        <v>636.99199999999996</v>
      </c>
      <c r="DA12">
        <f>617.071</f>
        <v>617.07100000000003</v>
      </c>
      <c r="DB12">
        <f>700.1745</f>
        <v>700.17449999999997</v>
      </c>
      <c r="DC12">
        <f>636.176</f>
        <v>636.17600000000004</v>
      </c>
      <c r="DD12">
        <f>713.719</f>
        <v>713.71900000000005</v>
      </c>
      <c r="DE12">
        <f>752.511</f>
        <v>752.51099999999997</v>
      </c>
      <c r="DF12">
        <f>675.586</f>
        <v>675.58600000000001</v>
      </c>
      <c r="DG12">
        <f>688.081</f>
        <v>688.08100000000002</v>
      </c>
      <c r="DH12">
        <f>696.987</f>
        <v>696.98699999999997</v>
      </c>
      <c r="DI12">
        <f>683.071</f>
        <v>683.07100000000003</v>
      </c>
      <c r="DJ12">
        <f>677.099</f>
        <v>677.09900000000005</v>
      </c>
      <c r="DK12">
        <f>673.556</f>
        <v>673.55600000000004</v>
      </c>
      <c r="DL12">
        <f>670.169</f>
        <v>670.16899999999998</v>
      </c>
      <c r="DM12">
        <f>707.911</f>
        <v>707.91099999999994</v>
      </c>
      <c r="DN12">
        <f>914.152</f>
        <v>914.15200000000004</v>
      </c>
      <c r="DO12">
        <f>700.985</f>
        <v>700.98500000000001</v>
      </c>
      <c r="DP12">
        <f>714.767</f>
        <v>714.76700000000005</v>
      </c>
      <c r="DQ12">
        <f>685.368</f>
        <v>685.36800000000005</v>
      </c>
      <c r="DR12">
        <f>676.375</f>
        <v>676.375</v>
      </c>
      <c r="DS12">
        <f>691.693</f>
        <v>691.69299999999998</v>
      </c>
      <c r="DT12">
        <f>689.941</f>
        <v>689.94100000000003</v>
      </c>
      <c r="DU12">
        <f>700.707</f>
        <v>700.70699999999999</v>
      </c>
    </row>
    <row r="13" spans="1:125">
      <c r="A13" t="str">
        <f>"    公寓房地产投资信托平均入住率"</f>
        <v xml:space="preserve">    公寓房地产投资信托平均入住率</v>
      </c>
      <c r="B13" t="str">
        <f>"RECFAVAP Index"</f>
        <v>RECFAVAP Index</v>
      </c>
      <c r="C13" t="str">
        <f>"PR005"</f>
        <v>PR005</v>
      </c>
      <c r="D13" t="str">
        <f>"PX_LAST"</f>
        <v>PX_LAST</v>
      </c>
      <c r="E13" t="str">
        <f>"动态"</f>
        <v>动态</v>
      </c>
      <c r="F13">
        <f ca="1">IF(AND(ISNUMBER($F$49),$B$39=1),$F$49,HLOOKUP(INDIRECT(ADDRESS(2,COLUMN())),OFFSET($BN$2,0,0,ROW()-1,60),ROW()-1,FALSE))</f>
        <v>95.695894269999997</v>
      </c>
      <c r="G13">
        <f ca="1">IF(AND(ISNUMBER($G$49),$B$39=1),$G$49,HLOOKUP(INDIRECT(ADDRESS(2,COLUMN())),OFFSET($BN$2,0,0,ROW()-1,60),ROW()-1,FALSE))</f>
        <v>94.038482939999994</v>
      </c>
      <c r="H13">
        <f ca="1">IF(AND(ISNUMBER($H$49),$B$39=1),$H$49,HLOOKUP(INDIRECT(ADDRESS(2,COLUMN())),OFFSET($BN$2,0,0,ROW()-1,60),ROW()-1,FALSE))</f>
        <v>94.014835349999998</v>
      </c>
      <c r="I13">
        <f ca="1">IF(AND(ISNUMBER($I$49),$B$39=1),$I$49,HLOOKUP(INDIRECT(ADDRESS(2,COLUMN())),OFFSET($BN$2,0,0,ROW()-1,60),ROW()-1,FALSE))</f>
        <v>95.114441679999999</v>
      </c>
      <c r="J13">
        <f ca="1">IF(AND(ISNUMBER($J$49),$B$39=1),$J$49,HLOOKUP(INDIRECT(ADDRESS(2,COLUMN())),OFFSET($BN$2,0,0,ROW()-1,60),ROW()-1,FALSE))</f>
        <v>95.100766030000003</v>
      </c>
      <c r="K13">
        <f ca="1">IF(AND(ISNUMBER($K$49),$B$39=1),$K$49,HLOOKUP(INDIRECT(ADDRESS(2,COLUMN())),OFFSET($BN$2,0,0,ROW()-1,60),ROW()-1,FALSE))</f>
        <v>94.508641760000003</v>
      </c>
      <c r="L13">
        <f ca="1">IF(AND(ISNUMBER($L$49),$B$39=1),$L$49,HLOOKUP(INDIRECT(ADDRESS(2,COLUMN())),OFFSET($BN$2,0,0,ROW()-1,60),ROW()-1,FALSE))</f>
        <v>94.219786130000003</v>
      </c>
      <c r="M13">
        <f ca="1">IF(AND(ISNUMBER($M$49),$B$39=1),$M$49,HLOOKUP(INDIRECT(ADDRESS(2,COLUMN())),OFFSET($BN$2,0,0,ROW()-1,60),ROW()-1,FALSE))</f>
        <v>95.170143170000003</v>
      </c>
      <c r="N13">
        <f ca="1">IF(AND(ISNUMBER($N$49),$B$39=1),$N$49,HLOOKUP(INDIRECT(ADDRESS(2,COLUMN())),OFFSET($BN$2,0,0,ROW()-1,60),ROW()-1,FALSE))</f>
        <v>95.180003069999998</v>
      </c>
      <c r="O13">
        <f ca="1">IF(AND(ISNUMBER($O$49),$B$39=1),$O$49,HLOOKUP(INDIRECT(ADDRESS(2,COLUMN())),OFFSET($BN$2,0,0,ROW()-1,60),ROW()-1,FALSE))</f>
        <v>94.086792299999999</v>
      </c>
      <c r="P13">
        <f ca="1">IF(AND(ISNUMBER($P$49),$B$39=1),$P$49,HLOOKUP(INDIRECT(ADDRESS(2,COLUMN())),OFFSET($BN$2,0,0,ROW()-1,60),ROW()-1,FALSE))</f>
        <v>94.461427779999994</v>
      </c>
      <c r="Q13">
        <f ca="1">IF(AND(ISNUMBER($Q$49),$B$39=1),$Q$49,HLOOKUP(INDIRECT(ADDRESS(2,COLUMN())),OFFSET($BN$2,0,0,ROW()-1,60),ROW()-1,FALSE))</f>
        <v>95.404404119999995</v>
      </c>
      <c r="R13">
        <f ca="1">IF(AND(ISNUMBER($R$49),$B$39=1),$R$49,HLOOKUP(INDIRECT(ADDRESS(2,COLUMN())),OFFSET($BN$2,0,0,ROW()-1,60),ROW()-1,FALSE))</f>
        <v>95.173413999999994</v>
      </c>
      <c r="S13">
        <f ca="1">IF(AND(ISNUMBER($S$49),$B$39=1),$S$49,HLOOKUP(INDIRECT(ADDRESS(2,COLUMN())),OFFSET($BN$2,0,0,ROW()-1,60),ROW()-1,FALSE))</f>
        <v>94.899925890000006</v>
      </c>
      <c r="T13">
        <f ca="1">IF(AND(ISNUMBER($T$49),$B$39=1),$T$49,HLOOKUP(INDIRECT(ADDRESS(2,COLUMN())),OFFSET($BN$2,0,0,ROW()-1,60),ROW()-1,FALSE))</f>
        <v>94.545527089999993</v>
      </c>
      <c r="U13">
        <f ca="1">IF(AND(ISNUMBER($U$49),$B$39=1),$U$49,HLOOKUP(INDIRECT(ADDRESS(2,COLUMN())),OFFSET($BN$2,0,0,ROW()-1,60),ROW()-1,FALSE))</f>
        <v>94.928373579999999</v>
      </c>
      <c r="V13">
        <f ca="1">IF(AND(ISNUMBER($V$49),$B$39=1),$V$49,HLOOKUP(INDIRECT(ADDRESS(2,COLUMN())),OFFSET($BN$2,0,0,ROW()-1,60),ROW()-1,FALSE))</f>
        <v>94.644578999999993</v>
      </c>
      <c r="W13">
        <f ca="1">IF(AND(ISNUMBER($W$49),$B$39=1),$W$49,HLOOKUP(INDIRECT(ADDRESS(2,COLUMN())),OFFSET($BN$2,0,0,ROW()-1,60),ROW()-1,FALSE))</f>
        <v>94.430190670000002</v>
      </c>
      <c r="X13">
        <f ca="1">IF(AND(ISNUMBER($X$49),$B$39=1),$X$49,HLOOKUP(INDIRECT(ADDRESS(2,COLUMN())),OFFSET($BN$2,0,0,ROW()-1,60),ROW()-1,FALSE))</f>
        <v>94.342628199999993</v>
      </c>
      <c r="Y13">
        <f ca="1">IF(AND(ISNUMBER($Y$49),$B$39=1),$Y$49,HLOOKUP(INDIRECT(ADDRESS(2,COLUMN())),OFFSET($BN$2,0,0,ROW()-1,60),ROW()-1,FALSE))</f>
        <v>95.037719319999994</v>
      </c>
      <c r="Z13">
        <f ca="1">IF(AND(ISNUMBER($Z$49),$B$39=1),$Z$49,HLOOKUP(INDIRECT(ADDRESS(2,COLUMN())),OFFSET($BN$2,0,0,ROW()-1,60),ROW()-1,FALSE))</f>
        <v>94.701269269999997</v>
      </c>
      <c r="AA13">
        <f ca="1">IF(AND(ISNUMBER($AA$49),$B$39=1),$AA$49,HLOOKUP(INDIRECT(ADDRESS(2,COLUMN())),OFFSET($BN$2,0,0,ROW()-1,60),ROW()-1,FALSE))</f>
        <v>94.857585709999995</v>
      </c>
      <c r="AB13">
        <f ca="1">IF(AND(ISNUMBER($AB$49),$B$39=1),$AB$49,HLOOKUP(INDIRECT(ADDRESS(2,COLUMN())),OFFSET($BN$2,0,0,ROW()-1,60),ROW()-1,FALSE))</f>
        <v>94.797411089999997</v>
      </c>
      <c r="AC13">
        <f ca="1">IF(AND(ISNUMBER($AC$49),$B$39=1),$AC$49,HLOOKUP(INDIRECT(ADDRESS(2,COLUMN())),OFFSET($BN$2,0,0,ROW()-1,60),ROW()-1,FALSE))</f>
        <v>94.93660989</v>
      </c>
      <c r="AD13">
        <f ca="1">IF(AND(ISNUMBER($AD$49),$B$39=1),$AD$49,HLOOKUP(INDIRECT(ADDRESS(2,COLUMN())),OFFSET($BN$2,0,0,ROW()-1,60),ROW()-1,FALSE))</f>
        <v>94.594109419999995</v>
      </c>
      <c r="AE13">
        <f ca="1">IF(AND(ISNUMBER($AE$49),$B$39=1),$AE$49,HLOOKUP(INDIRECT(ADDRESS(2,COLUMN())),OFFSET($BN$2,0,0,ROW()-1,60),ROW()-1,FALSE))</f>
        <v>94.874988970000004</v>
      </c>
      <c r="AF13">
        <f ca="1">IF(AND(ISNUMBER($AF$49),$B$39=1),$AF$49,HLOOKUP(INDIRECT(ADDRESS(2,COLUMN())),OFFSET($BN$2,0,0,ROW()-1,60),ROW()-1,FALSE))</f>
        <v>94.864143609999999</v>
      </c>
      <c r="AG13">
        <f ca="1">IF(AND(ISNUMBER($AG$49),$B$39=1),$AG$49,HLOOKUP(INDIRECT(ADDRESS(2,COLUMN())),OFFSET($BN$2,0,0,ROW()-1,60),ROW()-1,FALSE))</f>
        <v>94.990902750000004</v>
      </c>
      <c r="AH13">
        <f ca="1">IF(AND(ISNUMBER($AH$49),$B$39=1),$AH$49,HLOOKUP(INDIRECT(ADDRESS(2,COLUMN())),OFFSET($BN$2,0,0,ROW()-1,60),ROW()-1,FALSE))</f>
        <v>94.374151830000002</v>
      </c>
      <c r="AI13">
        <f ca="1">IF(AND(ISNUMBER($AI$49),$B$39=1),$AI$49,HLOOKUP(INDIRECT(ADDRESS(2,COLUMN())),OFFSET($BN$2,0,0,ROW()-1,60),ROW()-1,FALSE))</f>
        <v>94.581091869999995</v>
      </c>
      <c r="AJ13">
        <f ca="1">IF(AND(ISNUMBER($AJ$49),$B$39=1),$AJ$49,HLOOKUP(INDIRECT(ADDRESS(2,COLUMN())),OFFSET($BN$2,0,0,ROW()-1,60),ROW()-1,FALSE))</f>
        <v>94.302038339999996</v>
      </c>
      <c r="AK13">
        <f ca="1">IF(AND(ISNUMBER($AK$49),$B$39=1),$AK$49,HLOOKUP(INDIRECT(ADDRESS(2,COLUMN())),OFFSET($BN$2,0,0,ROW()-1,60),ROW()-1,FALSE))</f>
        <v>94.410003979999999</v>
      </c>
      <c r="AL13">
        <f ca="1">IF(AND(ISNUMBER($AL$49),$B$39=1),$AL$49,HLOOKUP(INDIRECT(ADDRESS(2,COLUMN())),OFFSET($BN$2,0,0,ROW()-1,60),ROW()-1,FALSE))</f>
        <v>94.166688859999994</v>
      </c>
      <c r="AM13">
        <f ca="1">IF(AND(ISNUMBER($AM$49),$B$39=1),$AM$49,HLOOKUP(INDIRECT(ADDRESS(2,COLUMN())),OFFSET($BN$2,0,0,ROW()-1,60),ROW()-1,FALSE))</f>
        <v>93.828456369999998</v>
      </c>
      <c r="AN13">
        <f ca="1">IF(AND(ISNUMBER($AN$49),$B$39=1),$AN$49,HLOOKUP(INDIRECT(ADDRESS(2,COLUMN())),OFFSET($BN$2,0,0,ROW()-1,60),ROW()-1,FALSE))</f>
        <v>93.261447750000002</v>
      </c>
      <c r="AO13">
        <f ca="1">IF(AND(ISNUMBER($AO$49),$B$39=1),$AO$49,HLOOKUP(INDIRECT(ADDRESS(2,COLUMN())),OFFSET($BN$2,0,0,ROW()-1,60),ROW()-1,FALSE))</f>
        <v>93.313847920000001</v>
      </c>
      <c r="AP13">
        <f ca="1">IF(AND(ISNUMBER($AP$49),$B$39=1),$AP$49,HLOOKUP(INDIRECT(ADDRESS(2,COLUMN())),OFFSET($BN$2,0,0,ROW()-1,60),ROW()-1,FALSE))</f>
        <v>93.398596810000001</v>
      </c>
      <c r="AQ13">
        <f ca="1">IF(AND(ISNUMBER($AQ$49),$B$39=1),$AQ$49,HLOOKUP(INDIRECT(ADDRESS(2,COLUMN())),OFFSET($BN$2,0,0,ROW()-1,60),ROW()-1,FALSE))</f>
        <v>94.720909879999994</v>
      </c>
      <c r="AR13">
        <f ca="1">IF(AND(ISNUMBER($AR$49),$B$39=1),$AR$49,HLOOKUP(INDIRECT(ADDRESS(2,COLUMN())),OFFSET($BN$2,0,0,ROW()-1,60),ROW()-1,FALSE))</f>
        <v>92.374716500000005</v>
      </c>
      <c r="AS13">
        <f ca="1">IF(AND(ISNUMBER($AS$49),$B$39=1),$AS$49,HLOOKUP(INDIRECT(ADDRESS(2,COLUMN())),OFFSET($BN$2,0,0,ROW()-1,60),ROW()-1,FALSE))</f>
        <v>93.462990520000005</v>
      </c>
      <c r="AT13">
        <f ca="1">IF(AND(ISNUMBER($AT$49),$B$39=1),$AT$49,HLOOKUP(INDIRECT(ADDRESS(2,COLUMN())),OFFSET($BN$2,0,0,ROW()-1,60),ROW()-1,FALSE))</f>
        <v>93.176707789999995</v>
      </c>
      <c r="AU13">
        <f ca="1">IF(AND(ISNUMBER($AU$49),$B$39=1),$AU$49,HLOOKUP(INDIRECT(ADDRESS(2,COLUMN())),OFFSET($BN$2,0,0,ROW()-1,60),ROW()-1,FALSE))</f>
        <v>93.896769950000007</v>
      </c>
      <c r="AV13">
        <f ca="1">IF(AND(ISNUMBER($AV$49),$B$39=1),$AV$49,HLOOKUP(INDIRECT(ADDRESS(2,COLUMN())),OFFSET($BN$2,0,0,ROW()-1,60),ROW()-1,FALSE))</f>
        <v>93.263467500000004</v>
      </c>
      <c r="AW13">
        <f ca="1">IF(AND(ISNUMBER($AW$49),$B$39=1),$AW$49,HLOOKUP(INDIRECT(ADDRESS(2,COLUMN())),OFFSET($BN$2,0,0,ROW()-1,60),ROW()-1,FALSE))</f>
        <v>93.519480470000005</v>
      </c>
      <c r="AX13">
        <f ca="1">IF(AND(ISNUMBER($AX$49),$B$39=1),$AX$49,HLOOKUP(INDIRECT(ADDRESS(2,COLUMN())),OFFSET($BN$2,0,0,ROW()-1,60),ROW()-1,FALSE))</f>
        <v>93.688273980000005</v>
      </c>
      <c r="AY13">
        <f ca="1">IF(AND(ISNUMBER($AY$49),$B$39=1),$AY$49,HLOOKUP(INDIRECT(ADDRESS(2,COLUMN())),OFFSET($BN$2,0,0,ROW()-1,60),ROW()-1,FALSE))</f>
        <v>94.268315139999999</v>
      </c>
      <c r="AZ13">
        <f ca="1">IF(AND(ISNUMBER($AZ$49),$B$39=1),$AZ$49,HLOOKUP(INDIRECT(ADDRESS(2,COLUMN())),OFFSET($BN$2,0,0,ROW()-1,60),ROW()-1,FALSE))</f>
        <v>94.136888870000007</v>
      </c>
      <c r="BA13">
        <f ca="1">IF(AND(ISNUMBER($BA$49),$B$39=1),$BA$49,HLOOKUP(INDIRECT(ADDRESS(2,COLUMN())),OFFSET($BN$2,0,0,ROW()-1,60),ROW()-1,FALSE))</f>
        <v>94.966185769999996</v>
      </c>
      <c r="BB13">
        <f ca="1">IF(AND(ISNUMBER($BB$49),$B$39=1),$BB$49,HLOOKUP(INDIRECT(ADDRESS(2,COLUMN())),OFFSET($BN$2,0,0,ROW()-1,60),ROW()-1,FALSE))</f>
        <v>94.229379510000001</v>
      </c>
      <c r="BC13">
        <f ca="1">IF(AND(ISNUMBER($BC$49),$B$39=1),$BC$49,HLOOKUP(INDIRECT(ADDRESS(2,COLUMN())),OFFSET($BN$2,0,0,ROW()-1,60),ROW()-1,FALSE))</f>
        <v>94.967780529999999</v>
      </c>
      <c r="BD13">
        <f ca="1">IF(AND(ISNUMBER($BD$49),$B$39=1),$BD$49,HLOOKUP(INDIRECT(ADDRESS(2,COLUMN())),OFFSET($BN$2,0,0,ROW()-1,60),ROW()-1,FALSE))</f>
        <v>94.128579419999994</v>
      </c>
      <c r="BE13">
        <f ca="1">IF(AND(ISNUMBER($BE$49),$B$39=1),$BE$49,HLOOKUP(INDIRECT(ADDRESS(2,COLUMN())),OFFSET($BN$2,0,0,ROW()-1,60),ROW()-1,FALSE))</f>
        <v>93.844436650000006</v>
      </c>
      <c r="BF13">
        <f ca="1">IF(AND(ISNUMBER($BF$49),$B$39=1),$BF$49,HLOOKUP(INDIRECT(ADDRESS(2,COLUMN())),OFFSET($BN$2,0,0,ROW()-1,60),ROW()-1,FALSE))</f>
        <v>93.546542509999995</v>
      </c>
      <c r="BG13">
        <f ca="1">IF(AND(ISNUMBER($BG$49),$B$39=1),$BG$49,HLOOKUP(INDIRECT(ADDRESS(2,COLUMN())),OFFSET($BN$2,0,0,ROW()-1,60),ROW()-1,FALSE))</f>
        <v>94.359349469999998</v>
      </c>
      <c r="BH13">
        <f ca="1">IF(AND(ISNUMBER($BH$49),$B$39=1),$BH$49,HLOOKUP(INDIRECT(ADDRESS(2,COLUMN())),OFFSET($BN$2,0,0,ROW()-1,60),ROW()-1,FALSE))</f>
        <v>94.101068920000003</v>
      </c>
      <c r="BI13">
        <f ca="1">IF(AND(ISNUMBER($BI$49),$B$39=1),$BI$49,HLOOKUP(INDIRECT(ADDRESS(2,COLUMN())),OFFSET($BN$2,0,0,ROW()-1,60),ROW()-1,FALSE))</f>
        <v>93.844498759999993</v>
      </c>
      <c r="BJ13">
        <f ca="1">IF(AND(ISNUMBER($BJ$49),$B$39=1),$BJ$49,HLOOKUP(INDIRECT(ADDRESS(2,COLUMN())),OFFSET($BN$2,0,0,ROW()-1,60),ROW()-1,FALSE))</f>
        <v>92.885629800000004</v>
      </c>
      <c r="BK13">
        <f ca="1">IF(AND(ISNUMBER($BK$49),$B$39=1),$BK$49,HLOOKUP(INDIRECT(ADDRESS(2,COLUMN())),OFFSET($BN$2,0,0,ROW()-1,60),ROW()-1,FALSE))</f>
        <v>93.067995909999993</v>
      </c>
      <c r="BL13">
        <f ca="1">IF(AND(ISNUMBER($BL$49),$B$39=1),$BL$49,HLOOKUP(INDIRECT(ADDRESS(2,COLUMN())),OFFSET($BN$2,0,0,ROW()-1,60),ROW()-1,FALSE))</f>
        <v>93.003353219999994</v>
      </c>
      <c r="BM13">
        <f ca="1">IF(AND(ISNUMBER($BM$49),$B$39=1),$BM$49,HLOOKUP(INDIRECT(ADDRESS(2,COLUMN())),OFFSET($BN$2,0,0,ROW()-1,60),ROW()-1,FALSE))</f>
        <v>91.500287310000004</v>
      </c>
      <c r="BN13">
        <f>95.69589427</f>
        <v>95.695894269999997</v>
      </c>
      <c r="BO13">
        <f>94.03848294</f>
        <v>94.038482939999994</v>
      </c>
      <c r="BP13">
        <f>94.01483535</f>
        <v>94.014835349999998</v>
      </c>
      <c r="BQ13">
        <f>95.11444168</f>
        <v>95.114441679999999</v>
      </c>
      <c r="BR13">
        <f>95.10076603</f>
        <v>95.100766030000003</v>
      </c>
      <c r="BS13">
        <f>94.50864176</f>
        <v>94.508641760000003</v>
      </c>
      <c r="BT13">
        <f>94.21978613</f>
        <v>94.219786130000003</v>
      </c>
      <c r="BU13">
        <f>95.17014317</f>
        <v>95.170143170000003</v>
      </c>
      <c r="BV13">
        <f>95.18000307</f>
        <v>95.180003069999998</v>
      </c>
      <c r="BW13">
        <f>94.0867923</f>
        <v>94.086792299999999</v>
      </c>
      <c r="BX13">
        <f>94.46142778</f>
        <v>94.461427779999994</v>
      </c>
      <c r="BY13">
        <f>95.40440412</f>
        <v>95.404404119999995</v>
      </c>
      <c r="BZ13">
        <f>95.173414</f>
        <v>95.173413999999994</v>
      </c>
      <c r="CA13">
        <f>94.89992589</f>
        <v>94.899925890000006</v>
      </c>
      <c r="CB13">
        <f>94.54552709</f>
        <v>94.545527089999993</v>
      </c>
      <c r="CC13">
        <f>94.92837358</f>
        <v>94.928373579999999</v>
      </c>
      <c r="CD13">
        <f>94.644579</f>
        <v>94.644578999999993</v>
      </c>
      <c r="CE13">
        <f>94.43019067</f>
        <v>94.430190670000002</v>
      </c>
      <c r="CF13">
        <f>94.3426282</f>
        <v>94.342628199999993</v>
      </c>
      <c r="CG13">
        <f>95.03771932</f>
        <v>95.037719319999994</v>
      </c>
      <c r="CH13">
        <f>94.70126927</f>
        <v>94.701269269999997</v>
      </c>
      <c r="CI13">
        <f>94.85758571</f>
        <v>94.857585709999995</v>
      </c>
      <c r="CJ13">
        <f>94.79741109</f>
        <v>94.797411089999997</v>
      </c>
      <c r="CK13">
        <f>94.93660989</f>
        <v>94.93660989</v>
      </c>
      <c r="CL13">
        <f>94.59410942</f>
        <v>94.594109419999995</v>
      </c>
      <c r="CM13">
        <f>94.87498897</f>
        <v>94.874988970000004</v>
      </c>
      <c r="CN13">
        <f>94.86414361</f>
        <v>94.864143609999999</v>
      </c>
      <c r="CO13">
        <f>94.99090275</f>
        <v>94.990902750000004</v>
      </c>
      <c r="CP13">
        <f>94.37415183</f>
        <v>94.374151830000002</v>
      </c>
      <c r="CQ13">
        <f>94.58109187</f>
        <v>94.581091869999995</v>
      </c>
      <c r="CR13">
        <f>94.30203834</f>
        <v>94.302038339999996</v>
      </c>
      <c r="CS13">
        <f>94.41000398</f>
        <v>94.410003979999999</v>
      </c>
      <c r="CT13">
        <f>94.16668886</f>
        <v>94.166688859999994</v>
      </c>
      <c r="CU13">
        <f>93.82845637</f>
        <v>93.828456369999998</v>
      </c>
      <c r="CV13">
        <f>93.26144775</f>
        <v>93.261447750000002</v>
      </c>
      <c r="CW13">
        <f>93.31384792</f>
        <v>93.313847920000001</v>
      </c>
      <c r="CX13">
        <f>93.39859681</f>
        <v>93.398596810000001</v>
      </c>
      <c r="CY13">
        <f>94.72090988</f>
        <v>94.720909879999994</v>
      </c>
      <c r="CZ13">
        <f>92.3747165</f>
        <v>92.374716500000005</v>
      </c>
      <c r="DA13">
        <f>93.46299052</f>
        <v>93.462990520000005</v>
      </c>
      <c r="DB13">
        <f>93.17670779</f>
        <v>93.176707789999995</v>
      </c>
      <c r="DC13">
        <f>93.89676995</f>
        <v>93.896769950000007</v>
      </c>
      <c r="DD13">
        <f>93.2634675</f>
        <v>93.263467500000004</v>
      </c>
      <c r="DE13">
        <f>93.51948047</f>
        <v>93.519480470000005</v>
      </c>
      <c r="DF13">
        <f>93.68827398</f>
        <v>93.688273980000005</v>
      </c>
      <c r="DG13">
        <f>94.26831514</f>
        <v>94.268315139999999</v>
      </c>
      <c r="DH13">
        <f>94.13688887</f>
        <v>94.136888870000007</v>
      </c>
      <c r="DI13">
        <f>94.96618577</f>
        <v>94.966185769999996</v>
      </c>
      <c r="DJ13">
        <f>94.22937951</f>
        <v>94.229379510000001</v>
      </c>
      <c r="DK13">
        <f>94.96778053</f>
        <v>94.967780529999999</v>
      </c>
      <c r="DL13">
        <f>94.12857942</f>
        <v>94.128579419999994</v>
      </c>
      <c r="DM13">
        <f>93.84443665</f>
        <v>93.844436650000006</v>
      </c>
      <c r="DN13">
        <f>93.54654251</f>
        <v>93.546542509999995</v>
      </c>
      <c r="DO13">
        <f>94.35934947</f>
        <v>94.359349469999998</v>
      </c>
      <c r="DP13">
        <f>94.10106892</f>
        <v>94.101068920000003</v>
      </c>
      <c r="DQ13">
        <f>93.84449876</f>
        <v>93.844498759999993</v>
      </c>
      <c r="DR13">
        <f>92.8856298</f>
        <v>92.885629800000004</v>
      </c>
      <c r="DS13">
        <f>93.06799591</f>
        <v>93.067995909999993</v>
      </c>
      <c r="DT13">
        <f>93.00335322</f>
        <v>93.003353219999994</v>
      </c>
      <c r="DU13">
        <f>91.50028731</f>
        <v>91.500287310000004</v>
      </c>
    </row>
    <row r="14" spans="1:125">
      <c r="A14" t="str">
        <f>"独栋住宅房地产投资信托数据"</f>
        <v>独栋住宅房地产投资信托数据</v>
      </c>
      <c r="B14" t="str">
        <f>""</f>
        <v/>
      </c>
      <c r="E14" t="str">
        <f>"静态"</f>
        <v>静态</v>
      </c>
      <c r="F14" t="str">
        <f t="shared" ref="F14:AK14" ca="1" si="2">HLOOKUP(INDIRECT(ADDRESS(2,COLUMN())),OFFSET($BN$2,0,0,ROW()-1,60),ROW()-1,FALSE)</f>
        <v/>
      </c>
      <c r="G14" t="str">
        <f t="shared" ca="1" si="2"/>
        <v/>
      </c>
      <c r="H14" t="str">
        <f t="shared" ca="1" si="2"/>
        <v/>
      </c>
      <c r="I14" t="str">
        <f t="shared" ca="1" si="2"/>
        <v/>
      </c>
      <c r="J14" t="str">
        <f t="shared" ca="1" si="2"/>
        <v/>
      </c>
      <c r="K14" t="str">
        <f t="shared" ca="1" si="2"/>
        <v/>
      </c>
      <c r="L14" t="str">
        <f t="shared" ca="1" si="2"/>
        <v/>
      </c>
      <c r="M14" t="str">
        <f t="shared" ca="1" si="2"/>
        <v/>
      </c>
      <c r="N14" t="str">
        <f t="shared" ca="1" si="2"/>
        <v/>
      </c>
      <c r="O14" t="str">
        <f t="shared" ca="1" si="2"/>
        <v/>
      </c>
      <c r="P14" t="str">
        <f t="shared" ca="1" si="2"/>
        <v/>
      </c>
      <c r="Q14" t="str">
        <f t="shared" ca="1" si="2"/>
        <v/>
      </c>
      <c r="R14" t="str">
        <f t="shared" ca="1" si="2"/>
        <v/>
      </c>
      <c r="S14" t="str">
        <f t="shared" ca="1" si="2"/>
        <v/>
      </c>
      <c r="T14" t="str">
        <f t="shared" ca="1" si="2"/>
        <v/>
      </c>
      <c r="U14" t="str">
        <f t="shared" ca="1" si="2"/>
        <v/>
      </c>
      <c r="V14" t="str">
        <f t="shared" ca="1" si="2"/>
        <v/>
      </c>
      <c r="W14" t="str">
        <f t="shared" ca="1" si="2"/>
        <v/>
      </c>
      <c r="X14" t="str">
        <f t="shared" ca="1" si="2"/>
        <v/>
      </c>
      <c r="Y14" t="str">
        <f t="shared" ca="1" si="2"/>
        <v/>
      </c>
      <c r="Z14" t="str">
        <f t="shared" ca="1" si="2"/>
        <v/>
      </c>
      <c r="AA14" t="str">
        <f t="shared" ca="1" si="2"/>
        <v/>
      </c>
      <c r="AB14" t="str">
        <f t="shared" ca="1" si="2"/>
        <v/>
      </c>
      <c r="AC14" t="str">
        <f t="shared" ca="1" si="2"/>
        <v/>
      </c>
      <c r="AD14" t="str">
        <f t="shared" ca="1" si="2"/>
        <v/>
      </c>
      <c r="AE14" t="str">
        <f t="shared" ca="1" si="2"/>
        <v/>
      </c>
      <c r="AF14" t="str">
        <f t="shared" ca="1" si="2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ref="AL14:BM14" ca="1" si="3">HLOOKUP(INDIRECT(ADDRESS(2,COLUMN())),OFFSET($BN$2,0,0,ROW()-1,60),ROW()-1,FALSE)</f>
        <v/>
      </c>
      <c r="AM14" t="str">
        <f t="shared" ca="1" si="3"/>
        <v/>
      </c>
      <c r="AN14" t="str">
        <f t="shared" ca="1" si="3"/>
        <v/>
      </c>
      <c r="AO14" t="str">
        <f t="shared" ca="1" si="3"/>
        <v/>
      </c>
      <c r="AP14" t="str">
        <f t="shared" ca="1" si="3"/>
        <v/>
      </c>
      <c r="AQ14" t="str">
        <f t="shared" ca="1" si="3"/>
        <v/>
      </c>
      <c r="AR14" t="str">
        <f t="shared" ca="1" si="3"/>
        <v/>
      </c>
      <c r="AS14" t="str">
        <f t="shared" ca="1" si="3"/>
        <v/>
      </c>
      <c r="AT14" t="str">
        <f t="shared" ca="1" si="3"/>
        <v/>
      </c>
      <c r="AU14" t="str">
        <f t="shared" ca="1" si="3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  <c r="BE14" t="str">
        <f t="shared" ca="1" si="3"/>
        <v/>
      </c>
      <c r="BF14" t="str">
        <f t="shared" ca="1" si="3"/>
        <v/>
      </c>
      <c r="BG14" t="str">
        <f t="shared" ca="1" si="3"/>
        <v/>
      </c>
      <c r="BH14" t="str">
        <f t="shared" ca="1" si="3"/>
        <v/>
      </c>
      <c r="BI14" t="str">
        <f t="shared" ca="1" si="3"/>
        <v/>
      </c>
      <c r="BJ14" t="str">
        <f t="shared" ca="1" si="3"/>
        <v/>
      </c>
      <c r="BK14" t="str">
        <f t="shared" ca="1" si="3"/>
        <v/>
      </c>
      <c r="BL14" t="str">
        <f t="shared" ca="1" si="3"/>
        <v/>
      </c>
      <c r="BM14" t="str">
        <f t="shared" ca="1" si="3"/>
        <v/>
      </c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  <c r="BT14" t="str">
        <f>""</f>
        <v/>
      </c>
      <c r="BU14" t="str">
        <f>""</f>
        <v/>
      </c>
      <c r="BV14" t="str">
        <f>""</f>
        <v/>
      </c>
      <c r="BW14" t="str">
        <f>""</f>
        <v/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  <c r="CI14" t="str">
        <f>""</f>
        <v/>
      </c>
      <c r="CJ14" t="str">
        <f>""</f>
        <v/>
      </c>
      <c r="CK14" t="str">
        <f>""</f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</row>
    <row r="15" spans="1:125">
      <c r="A15" t="str">
        <f>"    独栋住宅房地产投资信托总营运现金流"</f>
        <v xml:space="preserve">    独栋住宅房地产投资信托总营运现金流</v>
      </c>
      <c r="B15" t="str">
        <f>"RECFFOSF Index"</f>
        <v>RECFFOSF Index</v>
      </c>
      <c r="C15" t="str">
        <f>"PR005"</f>
        <v>PR005</v>
      </c>
      <c r="D15" t="str">
        <f>"PX_LAST"</f>
        <v>PX_LAST</v>
      </c>
      <c r="E15" t="str">
        <f>"动态"</f>
        <v>动态</v>
      </c>
      <c r="F15">
        <f ca="1">IF(AND(ISNUMBER($F$50),$B$39=1),$F$50,HLOOKUP(INDIRECT(ADDRESS(2,COLUMN())),OFFSET($BN$2,0,0,ROW()-1,60),ROW()-1,FALSE))</f>
        <v>150.02517800000001</v>
      </c>
      <c r="G15">
        <f ca="1">IF(AND(ISNUMBER($G$50),$B$39=1),$G$50,HLOOKUP(INDIRECT(ADDRESS(2,COLUMN())),OFFSET($BN$2,0,0,ROW()-1,60),ROW()-1,FALSE))</f>
        <v>148.625</v>
      </c>
      <c r="H15">
        <f ca="1">IF(AND(ISNUMBER($H$50),$B$39=1),$H$50,HLOOKUP(INDIRECT(ADDRESS(2,COLUMN())),OFFSET($BN$2,0,0,ROW()-1,60),ROW()-1,FALSE))</f>
        <v>176.52099999999999</v>
      </c>
      <c r="I15">
        <f ca="1">IF(AND(ISNUMBER($I$50),$B$39=1),$I$50,HLOOKUP(INDIRECT(ADDRESS(2,COLUMN())),OFFSET($BN$2,0,0,ROW()-1,60),ROW()-1,FALSE))</f>
        <v>118.2</v>
      </c>
      <c r="J15">
        <f ca="1">IF(AND(ISNUMBER($J$50),$B$39=1),$J$50,HLOOKUP(INDIRECT(ADDRESS(2,COLUMN())),OFFSET($BN$2,0,0,ROW()-1,60),ROW()-1,FALSE))</f>
        <v>117.67100000000001</v>
      </c>
      <c r="K15">
        <f ca="1">IF(AND(ISNUMBER($K$50),$B$39=1),$K$50,HLOOKUP(INDIRECT(ADDRESS(2,COLUMN())),OFFSET($BN$2,0,0,ROW()-1,60),ROW()-1,FALSE))</f>
        <v>88.182000000000002</v>
      </c>
      <c r="L15">
        <f ca="1">IF(AND(ISNUMBER($L$50),$B$39=1),$L$50,HLOOKUP(INDIRECT(ADDRESS(2,COLUMN())),OFFSET($BN$2,0,0,ROW()-1,60),ROW()-1,FALSE))</f>
        <v>99.075000000000003</v>
      </c>
      <c r="M15">
        <f ca="1">IF(AND(ISNUMBER($M$50),$B$39=1),$M$50,HLOOKUP(INDIRECT(ADDRESS(2,COLUMN())),OFFSET($BN$2,0,0,ROW()-1,60),ROW()-1,FALSE))</f>
        <v>78.02</v>
      </c>
      <c r="N15">
        <f ca="1">IF(AND(ISNUMBER($N$50),$B$39=1),$N$50,HLOOKUP(INDIRECT(ADDRESS(2,COLUMN())),OFFSET($BN$2,0,0,ROW()-1,60),ROW()-1,FALSE))</f>
        <v>42.249000000000002</v>
      </c>
      <c r="O15">
        <f ca="1">IF(AND(ISNUMBER($O$50),$B$39=1),$O$50,HLOOKUP(INDIRECT(ADDRESS(2,COLUMN())),OFFSET($BN$2,0,0,ROW()-1,60),ROW()-1,FALSE))</f>
        <v>56.767000000000003</v>
      </c>
      <c r="P15">
        <f ca="1">IF(AND(ISNUMBER($P$50),$B$39=1),$P$50,HLOOKUP(INDIRECT(ADDRESS(2,COLUMN())),OFFSET($BN$2,0,0,ROW()-1,60),ROW()-1,FALSE))</f>
        <v>67.656000000000006</v>
      </c>
      <c r="Q15">
        <f ca="1">IF(AND(ISNUMBER($Q$50),$B$39=1),$Q$50,HLOOKUP(INDIRECT(ADDRESS(2,COLUMN())),OFFSET($BN$2,0,0,ROW()-1,60),ROW()-1,FALSE))</f>
        <v>52.21</v>
      </c>
      <c r="R15">
        <f ca="1">IF(AND(ISNUMBER($R$50),$B$39=1),$R$50,HLOOKUP(INDIRECT(ADDRESS(2,COLUMN())),OFFSET($BN$2,0,0,ROW()-1,60),ROW()-1,FALSE))</f>
        <v>45.686</v>
      </c>
      <c r="S15">
        <f ca="1">IF(AND(ISNUMBER($S$50),$B$39=1),$S$50,HLOOKUP(INDIRECT(ADDRESS(2,COLUMN())),OFFSET($BN$2,0,0,ROW()-1,60),ROW()-1,FALSE))</f>
        <v>-7.8140000000000001</v>
      </c>
      <c r="T15">
        <f ca="1">IF(AND(ISNUMBER($T$50),$B$39=1),$T$50,HLOOKUP(INDIRECT(ADDRESS(2,COLUMN())),OFFSET($BN$2,0,0,ROW()-1,60),ROW()-1,FALSE))</f>
        <v>28.271999999999998</v>
      </c>
      <c r="U15">
        <f ca="1">IF(AND(ISNUMBER($U$50),$B$39=1),$U$50,HLOOKUP(INDIRECT(ADDRESS(2,COLUMN())),OFFSET($BN$2,0,0,ROW()-1,60),ROW()-1,FALSE))</f>
        <v>17.594000000000001</v>
      </c>
      <c r="V15">
        <f ca="1">IF(AND(ISNUMBER($V$50),$B$39=1),$V$50,HLOOKUP(INDIRECT(ADDRESS(2,COLUMN())),OFFSET($BN$2,0,0,ROW()-1,60),ROW()-1,FALSE))</f>
        <v>21.529</v>
      </c>
      <c r="W15">
        <f ca="1">IF(AND(ISNUMBER($W$50),$B$39=1),$W$50,HLOOKUP(INDIRECT(ADDRESS(2,COLUMN())),OFFSET($BN$2,0,0,ROW()-1,60),ROW()-1,FALSE))</f>
        <v>20.835999999999999</v>
      </c>
      <c r="X15">
        <f ca="1">IF(AND(ISNUMBER($X$50),$B$39=1),$X$50,HLOOKUP(INDIRECT(ADDRESS(2,COLUMN())),OFFSET($BN$2,0,0,ROW()-1,60),ROW()-1,FALSE))</f>
        <v>-5.5659999999999998</v>
      </c>
      <c r="Y15">
        <f ca="1">IF(AND(ISNUMBER($Y$50),$B$39=1),$Y$50,HLOOKUP(INDIRECT(ADDRESS(2,COLUMN())),OFFSET($BN$2,0,0,ROW()-1,60),ROW()-1,FALSE))</f>
        <v>-2.5329999999999999</v>
      </c>
      <c r="Z15">
        <f ca="1">IF(AND(ISNUMBER($Z$50),$B$39=1),$Z$50,HLOOKUP(INDIRECT(ADDRESS(2,COLUMN())),OFFSET($BN$2,0,0,ROW()-1,60),ROW()-1,FALSE))</f>
        <v>0</v>
      </c>
      <c r="AA15">
        <f ca="1">IF(AND(ISNUMBER($AA$50),$B$39=1),$AA$50,HLOOKUP(INDIRECT(ADDRESS(2,COLUMN())),OFFSET($BN$2,0,0,ROW()-1,60),ROW()-1,FALSE))</f>
        <v>0</v>
      </c>
      <c r="AB15">
        <f ca="1">IF(AND(ISNUMBER($AB$50),$B$39=1),$AB$50,HLOOKUP(INDIRECT(ADDRESS(2,COLUMN())),OFFSET($BN$2,0,0,ROW()-1,60),ROW()-1,FALSE))</f>
        <v>0</v>
      </c>
      <c r="AC15">
        <f ca="1">IF(AND(ISNUMBER($AC$50),$B$39=1),$AC$50,HLOOKUP(INDIRECT(ADDRESS(2,COLUMN())),OFFSET($BN$2,0,0,ROW()-1,60),ROW()-1,FALSE))</f>
        <v>0</v>
      </c>
      <c r="AD15">
        <f ca="1">IF(AND(ISNUMBER($AD$50),$B$39=1),$AD$50,HLOOKUP(INDIRECT(ADDRESS(2,COLUMN())),OFFSET($BN$2,0,0,ROW()-1,60),ROW()-1,FALSE))</f>
        <v>0</v>
      </c>
      <c r="AE15">
        <f ca="1">IF(AND(ISNUMBER($AE$50),$B$39=1),$AE$50,HLOOKUP(INDIRECT(ADDRESS(2,COLUMN())),OFFSET($BN$2,0,0,ROW()-1,60),ROW()-1,FALSE))</f>
        <v>0</v>
      </c>
      <c r="AF15">
        <f ca="1">IF(AND(ISNUMBER($AF$50),$B$39=1),$AF$50,HLOOKUP(INDIRECT(ADDRESS(2,COLUMN())),OFFSET($BN$2,0,0,ROW()-1,60),ROW()-1,FALSE))</f>
        <v>0</v>
      </c>
      <c r="AG15">
        <f ca="1">IF(AND(ISNUMBER($AG$50),$B$39=1),$AG$50,HLOOKUP(INDIRECT(ADDRESS(2,COLUMN())),OFFSET($BN$2,0,0,ROW()-1,60),ROW()-1,FALSE))</f>
        <v>0</v>
      </c>
      <c r="AH15">
        <f ca="1">IF(AND(ISNUMBER($AH$50),$B$39=1),$AH$50,HLOOKUP(INDIRECT(ADDRESS(2,COLUMN())),OFFSET($BN$2,0,0,ROW()-1,60),ROW()-1,FALSE))</f>
        <v>0</v>
      </c>
      <c r="AI15">
        <f ca="1">IF(AND(ISNUMBER($AI$50),$B$39=1),$AI$50,HLOOKUP(INDIRECT(ADDRESS(2,COLUMN())),OFFSET($BN$2,0,0,ROW()-1,60),ROW()-1,FALSE))</f>
        <v>0</v>
      </c>
      <c r="AJ15">
        <f ca="1">IF(AND(ISNUMBER($AJ$50),$B$39=1),$AJ$50,HLOOKUP(INDIRECT(ADDRESS(2,COLUMN())),OFFSET($BN$2,0,0,ROW()-1,60),ROW()-1,FALSE))</f>
        <v>0</v>
      </c>
      <c r="AK15">
        <f ca="1">IF(AND(ISNUMBER($AK$50),$B$39=1),$AK$50,HLOOKUP(INDIRECT(ADDRESS(2,COLUMN())),OFFSET($BN$2,0,0,ROW()-1,60),ROW()-1,FALSE))</f>
        <v>0</v>
      </c>
      <c r="AL15">
        <f ca="1">IF(AND(ISNUMBER($AL$50),$B$39=1),$AL$50,HLOOKUP(INDIRECT(ADDRESS(2,COLUMN())),OFFSET($BN$2,0,0,ROW()-1,60),ROW()-1,FALSE))</f>
        <v>0</v>
      </c>
      <c r="AM15">
        <f ca="1">IF(AND(ISNUMBER($AM$50),$B$39=1),$AM$50,HLOOKUP(INDIRECT(ADDRESS(2,COLUMN())),OFFSET($BN$2,0,0,ROW()-1,60),ROW()-1,FALSE))</f>
        <v>0</v>
      </c>
      <c r="AN15">
        <f ca="1">IF(AND(ISNUMBER($AN$50),$B$39=1),$AN$50,HLOOKUP(INDIRECT(ADDRESS(2,COLUMN())),OFFSET($BN$2,0,0,ROW()-1,60),ROW()-1,FALSE))</f>
        <v>0</v>
      </c>
      <c r="AO15">
        <f ca="1">IF(AND(ISNUMBER($AO$50),$B$39=1),$AO$50,HLOOKUP(INDIRECT(ADDRESS(2,COLUMN())),OFFSET($BN$2,0,0,ROW()-1,60),ROW()-1,FALSE))</f>
        <v>0</v>
      </c>
      <c r="AP15">
        <f ca="1">IF(AND(ISNUMBER($AP$50),$B$39=1),$AP$50,HLOOKUP(INDIRECT(ADDRESS(2,COLUMN())),OFFSET($BN$2,0,0,ROW()-1,60),ROW()-1,FALSE))</f>
        <v>0</v>
      </c>
      <c r="AQ15">
        <f ca="1">IF(AND(ISNUMBER($AQ$50),$B$39=1),$AQ$50,HLOOKUP(INDIRECT(ADDRESS(2,COLUMN())),OFFSET($BN$2,0,0,ROW()-1,60),ROW()-1,FALSE))</f>
        <v>0</v>
      </c>
      <c r="AR15">
        <f ca="1">IF(AND(ISNUMBER($AR$50),$B$39=1),$AR$50,HLOOKUP(INDIRECT(ADDRESS(2,COLUMN())),OFFSET($BN$2,0,0,ROW()-1,60),ROW()-1,FALSE))</f>
        <v>0</v>
      </c>
      <c r="AS15">
        <f ca="1">IF(AND(ISNUMBER($AS$50),$B$39=1),$AS$50,HLOOKUP(INDIRECT(ADDRESS(2,COLUMN())),OFFSET($BN$2,0,0,ROW()-1,60),ROW()-1,FALSE))</f>
        <v>0</v>
      </c>
      <c r="AT15">
        <f ca="1">IF(AND(ISNUMBER($AT$50),$B$39=1),$AT$50,HLOOKUP(INDIRECT(ADDRESS(2,COLUMN())),OFFSET($BN$2,0,0,ROW()-1,60),ROW()-1,FALSE))</f>
        <v>0</v>
      </c>
      <c r="AU15">
        <f ca="1">IF(AND(ISNUMBER($AU$50),$B$39=1),$AU$50,HLOOKUP(INDIRECT(ADDRESS(2,COLUMN())),OFFSET($BN$2,0,0,ROW()-1,60),ROW()-1,FALSE))</f>
        <v>0</v>
      </c>
      <c r="AV15">
        <f ca="1">IF(AND(ISNUMBER($AV$50),$B$39=1),$AV$50,HLOOKUP(INDIRECT(ADDRESS(2,COLUMN())),OFFSET($BN$2,0,0,ROW()-1,60),ROW()-1,FALSE))</f>
        <v>0</v>
      </c>
      <c r="AW15">
        <f ca="1">IF(AND(ISNUMBER($AW$50),$B$39=1),$AW$50,HLOOKUP(INDIRECT(ADDRESS(2,COLUMN())),OFFSET($BN$2,0,0,ROW()-1,60),ROW()-1,FALSE))</f>
        <v>0</v>
      </c>
      <c r="AX15">
        <f ca="1">IF(AND(ISNUMBER($AX$50),$B$39=1),$AX$50,HLOOKUP(INDIRECT(ADDRESS(2,COLUMN())),OFFSET($BN$2,0,0,ROW()-1,60),ROW()-1,FALSE))</f>
        <v>0</v>
      </c>
      <c r="AY15">
        <f ca="1">IF(AND(ISNUMBER($AY$50),$B$39=1),$AY$50,HLOOKUP(INDIRECT(ADDRESS(2,COLUMN())),OFFSET($BN$2,0,0,ROW()-1,60),ROW()-1,FALSE))</f>
        <v>0</v>
      </c>
      <c r="AZ15">
        <f ca="1">IF(AND(ISNUMBER($AZ$50),$B$39=1),$AZ$50,HLOOKUP(INDIRECT(ADDRESS(2,COLUMN())),OFFSET($BN$2,0,0,ROW()-1,60),ROW()-1,FALSE))</f>
        <v>0</v>
      </c>
      <c r="BA15">
        <f ca="1">IF(AND(ISNUMBER($BA$50),$B$39=1),$BA$50,HLOOKUP(INDIRECT(ADDRESS(2,COLUMN())),OFFSET($BN$2,0,0,ROW()-1,60),ROW()-1,FALSE))</f>
        <v>0</v>
      </c>
      <c r="BB15">
        <f ca="1">IF(AND(ISNUMBER($BB$50),$B$39=1),$BB$50,HLOOKUP(INDIRECT(ADDRESS(2,COLUMN())),OFFSET($BN$2,0,0,ROW()-1,60),ROW()-1,FALSE))</f>
        <v>0</v>
      </c>
      <c r="BC15">
        <f ca="1">IF(AND(ISNUMBER($BC$50),$B$39=1),$BC$50,HLOOKUP(INDIRECT(ADDRESS(2,COLUMN())),OFFSET($BN$2,0,0,ROW()-1,60),ROW()-1,FALSE))</f>
        <v>0</v>
      </c>
      <c r="BD15">
        <f ca="1">IF(AND(ISNUMBER($BD$50),$B$39=1),$BD$50,HLOOKUP(INDIRECT(ADDRESS(2,COLUMN())),OFFSET($BN$2,0,0,ROW()-1,60),ROW()-1,FALSE))</f>
        <v>0</v>
      </c>
      <c r="BE15">
        <f ca="1">IF(AND(ISNUMBER($BE$50),$B$39=1),$BE$50,HLOOKUP(INDIRECT(ADDRESS(2,COLUMN())),OFFSET($BN$2,0,0,ROW()-1,60),ROW()-1,FALSE))</f>
        <v>0</v>
      </c>
      <c r="BF15">
        <f ca="1">IF(AND(ISNUMBER($BF$50),$B$39=1),$BF$50,HLOOKUP(INDIRECT(ADDRESS(2,COLUMN())),OFFSET($BN$2,0,0,ROW()-1,60),ROW()-1,FALSE))</f>
        <v>0</v>
      </c>
      <c r="BG15">
        <f ca="1">IF(AND(ISNUMBER($BG$50),$B$39=1),$BG$50,HLOOKUP(INDIRECT(ADDRESS(2,COLUMN())),OFFSET($BN$2,0,0,ROW()-1,60),ROW()-1,FALSE))</f>
        <v>0</v>
      </c>
      <c r="BH15">
        <f ca="1">IF(AND(ISNUMBER($BH$50),$B$39=1),$BH$50,HLOOKUP(INDIRECT(ADDRESS(2,COLUMN())),OFFSET($BN$2,0,0,ROW()-1,60),ROW()-1,FALSE))</f>
        <v>0</v>
      </c>
      <c r="BI15">
        <f ca="1">IF(AND(ISNUMBER($BI$50),$B$39=1),$BI$50,HLOOKUP(INDIRECT(ADDRESS(2,COLUMN())),OFFSET($BN$2,0,0,ROW()-1,60),ROW()-1,FALSE))</f>
        <v>0</v>
      </c>
      <c r="BJ15">
        <f ca="1">IF(AND(ISNUMBER($BJ$50),$B$39=1),$BJ$50,HLOOKUP(INDIRECT(ADDRESS(2,COLUMN())),OFFSET($BN$2,0,0,ROW()-1,60),ROW()-1,FALSE))</f>
        <v>0</v>
      </c>
      <c r="BK15">
        <f ca="1">IF(AND(ISNUMBER($BK$50),$B$39=1),$BK$50,HLOOKUP(INDIRECT(ADDRESS(2,COLUMN())),OFFSET($BN$2,0,0,ROW()-1,60),ROW()-1,FALSE))</f>
        <v>0</v>
      </c>
      <c r="BL15">
        <f ca="1">IF(AND(ISNUMBER($BL$50),$B$39=1),$BL$50,HLOOKUP(INDIRECT(ADDRESS(2,COLUMN())),OFFSET($BN$2,0,0,ROW()-1,60),ROW()-1,FALSE))</f>
        <v>0</v>
      </c>
      <c r="BM15">
        <f ca="1">IF(AND(ISNUMBER($BM$50),$B$39=1),$BM$50,HLOOKUP(INDIRECT(ADDRESS(2,COLUMN())),OFFSET($BN$2,0,0,ROW()-1,60),ROW()-1,FALSE))</f>
        <v>0</v>
      </c>
      <c r="BN15">
        <f>150.025178</f>
        <v>150.02517800000001</v>
      </c>
      <c r="BO15">
        <f>148.625</f>
        <v>148.625</v>
      </c>
      <c r="BP15">
        <f>176.521</f>
        <v>176.52099999999999</v>
      </c>
      <c r="BQ15">
        <f>118.2</f>
        <v>118.2</v>
      </c>
      <c r="BR15">
        <f>117.671</f>
        <v>117.67100000000001</v>
      </c>
      <c r="BS15">
        <f>88.182</f>
        <v>88.182000000000002</v>
      </c>
      <c r="BT15">
        <f>99.075</f>
        <v>99.075000000000003</v>
      </c>
      <c r="BU15">
        <f>78.02</f>
        <v>78.02</v>
      </c>
      <c r="BV15">
        <f>42.249</f>
        <v>42.249000000000002</v>
      </c>
      <c r="BW15">
        <f>56.767</f>
        <v>56.767000000000003</v>
      </c>
      <c r="BX15">
        <f>67.656</f>
        <v>67.656000000000006</v>
      </c>
      <c r="BY15">
        <f>52.21</f>
        <v>52.21</v>
      </c>
      <c r="BZ15">
        <f>45.686</f>
        <v>45.686</v>
      </c>
      <c r="CA15">
        <f>-7.814</f>
        <v>-7.8140000000000001</v>
      </c>
      <c r="CB15">
        <f>28.272</f>
        <v>28.271999999999998</v>
      </c>
      <c r="CC15">
        <f>17.594</f>
        <v>17.594000000000001</v>
      </c>
      <c r="CD15">
        <f>21.529</f>
        <v>21.529</v>
      </c>
      <c r="CE15">
        <f>20.836</f>
        <v>20.835999999999999</v>
      </c>
      <c r="CF15">
        <f>-5.566</f>
        <v>-5.5659999999999998</v>
      </c>
      <c r="CG15">
        <f>-2.533</f>
        <v>-2.5329999999999999</v>
      </c>
      <c r="CH15">
        <f>0</f>
        <v>0</v>
      </c>
      <c r="CI15">
        <f>0</f>
        <v>0</v>
      </c>
      <c r="CJ15">
        <f>0</f>
        <v>0</v>
      </c>
      <c r="CK15">
        <f>0</f>
        <v>0</v>
      </c>
      <c r="CL15">
        <f>0</f>
        <v>0</v>
      </c>
      <c r="CM15">
        <f>0</f>
        <v>0</v>
      </c>
      <c r="CN15">
        <f>0</f>
        <v>0</v>
      </c>
      <c r="CO15">
        <f>0</f>
        <v>0</v>
      </c>
      <c r="CP15">
        <f>0</f>
        <v>0</v>
      </c>
      <c r="CQ15">
        <f>0</f>
        <v>0</v>
      </c>
      <c r="CR15">
        <f>0</f>
        <v>0</v>
      </c>
      <c r="CS15">
        <f>0</f>
        <v>0</v>
      </c>
      <c r="CT15">
        <f>0</f>
        <v>0</v>
      </c>
      <c r="CU15">
        <f>0</f>
        <v>0</v>
      </c>
      <c r="CV15">
        <f>0</f>
        <v>0</v>
      </c>
      <c r="CW15">
        <f>0</f>
        <v>0</v>
      </c>
      <c r="CX15">
        <f>0</f>
        <v>0</v>
      </c>
      <c r="CY15">
        <f>0</f>
        <v>0</v>
      </c>
      <c r="CZ15">
        <f>0</f>
        <v>0</v>
      </c>
      <c r="DA15">
        <f>0</f>
        <v>0</v>
      </c>
      <c r="DB15">
        <f>0</f>
        <v>0</v>
      </c>
      <c r="DC15">
        <f>0</f>
        <v>0</v>
      </c>
      <c r="DD15">
        <f>0</f>
        <v>0</v>
      </c>
      <c r="DE15">
        <f>0</f>
        <v>0</v>
      </c>
      <c r="DF15">
        <f>0</f>
        <v>0</v>
      </c>
      <c r="DG15">
        <f>0</f>
        <v>0</v>
      </c>
      <c r="DH15">
        <f>0</f>
        <v>0</v>
      </c>
      <c r="DI15">
        <f>0</f>
        <v>0</v>
      </c>
      <c r="DJ15">
        <f>0</f>
        <v>0</v>
      </c>
      <c r="DK15">
        <f>0</f>
        <v>0</v>
      </c>
      <c r="DL15">
        <f>0</f>
        <v>0</v>
      </c>
      <c r="DM15">
        <f>0</f>
        <v>0</v>
      </c>
      <c r="DN15">
        <f>0</f>
        <v>0</v>
      </c>
      <c r="DO15">
        <f>0</f>
        <v>0</v>
      </c>
      <c r="DP15">
        <f>0</f>
        <v>0</v>
      </c>
      <c r="DQ15">
        <f>0</f>
        <v>0</v>
      </c>
      <c r="DR15">
        <f>0</f>
        <v>0</v>
      </c>
      <c r="DS15">
        <f>0</f>
        <v>0</v>
      </c>
      <c r="DT15">
        <f>0</f>
        <v>0</v>
      </c>
      <c r="DU15">
        <f>0</f>
        <v>0</v>
      </c>
    </row>
    <row r="16" spans="1:125">
      <c r="A16" t="str">
        <f>"    独栋住宅房地产投资信托净营业利润"</f>
        <v xml:space="preserve">    独栋住宅房地产投资信托净营业利润</v>
      </c>
      <c r="B16" t="str">
        <f>"RECFNOSF Index"</f>
        <v>RECFNOSF Index</v>
      </c>
      <c r="C16" t="str">
        <f>"PR005"</f>
        <v>PR005</v>
      </c>
      <c r="D16" t="str">
        <f>"PX_LAST"</f>
        <v>PX_LAST</v>
      </c>
      <c r="E16" t="str">
        <f>"动态"</f>
        <v>动态</v>
      </c>
      <c r="F16">
        <f ca="1">IF(AND(ISNUMBER($F$51),$B$39=1),$F$51,HLOOKUP(INDIRECT(ADDRESS(2,COLUMN())),OFFSET($BN$2,0,0,ROW()-1,60),ROW()-1,FALSE))</f>
        <v>354.36150579999997</v>
      </c>
      <c r="G16">
        <f ca="1">IF(AND(ISNUMBER($G$51),$B$39=1),$G$51,HLOOKUP(INDIRECT(ADDRESS(2,COLUMN())),OFFSET($BN$2,0,0,ROW()-1,60),ROW()-1,FALSE))</f>
        <v>387.92</v>
      </c>
      <c r="H16">
        <f ca="1">IF(AND(ISNUMBER($H$51),$B$39=1),$H$51,HLOOKUP(INDIRECT(ADDRESS(2,COLUMN())),OFFSET($BN$2,0,0,ROW()-1,60),ROW()-1,FALSE))</f>
        <v>374.62700000000001</v>
      </c>
      <c r="I16">
        <f ca="1">IF(AND(ISNUMBER($I$51),$B$39=1),$I$51,HLOOKUP(INDIRECT(ADDRESS(2,COLUMN())),OFFSET($BN$2,0,0,ROW()-1,60),ROW()-1,FALSE))</f>
        <v>381.56799999999998</v>
      </c>
      <c r="J16">
        <f ca="1">IF(AND(ISNUMBER($J$51),$B$39=1),$J$51,HLOOKUP(INDIRECT(ADDRESS(2,COLUMN())),OFFSET($BN$2,0,0,ROW()-1,60),ROW()-1,FALSE))</f>
        <v>238.10400000000001</v>
      </c>
      <c r="K16">
        <f ca="1">IF(AND(ISNUMBER($K$51),$B$39=1),$K$51,HLOOKUP(INDIRECT(ADDRESS(2,COLUMN())),OFFSET($BN$2,0,0,ROW()-1,60),ROW()-1,FALSE))</f>
        <v>219.286</v>
      </c>
      <c r="L16">
        <f ca="1">IF(AND(ISNUMBER($L$51),$B$39=1),$L$51,HLOOKUP(INDIRECT(ADDRESS(2,COLUMN())),OFFSET($BN$2,0,0,ROW()-1,60),ROW()-1,FALSE))</f>
        <v>219.119</v>
      </c>
      <c r="M16">
        <f ca="1">IF(AND(ISNUMBER($M$51),$B$39=1),$M$51,HLOOKUP(INDIRECT(ADDRESS(2,COLUMN())),OFFSET($BN$2,0,0,ROW()-1,60),ROW()-1,FALSE))</f>
        <v>204.47</v>
      </c>
      <c r="N16">
        <f ca="1">IF(AND(ISNUMBER($N$51),$B$39=1),$N$51,HLOOKUP(INDIRECT(ADDRESS(2,COLUMN())),OFFSET($BN$2,0,0,ROW()-1,60),ROW()-1,FALSE))</f>
        <v>171.565</v>
      </c>
      <c r="O16">
        <f ca="1">IF(AND(ISNUMBER($O$51),$B$39=1),$O$51,HLOOKUP(INDIRECT(ADDRESS(2,COLUMN())),OFFSET($BN$2,0,0,ROW()-1,60),ROW()-1,FALSE))</f>
        <v>169.00299999999999</v>
      </c>
      <c r="P16">
        <f ca="1">IF(AND(ISNUMBER($P$51),$B$39=1),$P$51,HLOOKUP(INDIRECT(ADDRESS(2,COLUMN())),OFFSET($BN$2,0,0,ROW()-1,60),ROW()-1,FALSE))</f>
        <v>140.82599999999999</v>
      </c>
      <c r="Q16">
        <f ca="1">IF(AND(ISNUMBER($Q$51),$B$39=1),$Q$51,HLOOKUP(INDIRECT(ADDRESS(2,COLUMN())),OFFSET($BN$2,0,0,ROW()-1,60),ROW()-1,FALSE))</f>
        <v>126.03700000000001</v>
      </c>
      <c r="R16">
        <f ca="1">IF(AND(ISNUMBER($R$51),$B$39=1),$R$51,HLOOKUP(INDIRECT(ADDRESS(2,COLUMN())),OFFSET($BN$2,0,0,ROW()-1,60),ROW()-1,FALSE))</f>
        <v>102.32899999999999</v>
      </c>
      <c r="S16">
        <f ca="1">IF(AND(ISNUMBER($S$51),$B$39=1),$S$51,HLOOKUP(INDIRECT(ADDRESS(2,COLUMN())),OFFSET($BN$2,0,0,ROW()-1,60),ROW()-1,FALSE))</f>
        <v>91.26</v>
      </c>
      <c r="T16">
        <f ca="1">IF(AND(ISNUMBER($T$51),$B$39=1),$T$51,HLOOKUP(INDIRECT(ADDRESS(2,COLUMN())),OFFSET($BN$2,0,0,ROW()-1,60),ROW()-1,FALSE))</f>
        <v>85.725999999999999</v>
      </c>
      <c r="U16">
        <f ca="1">IF(AND(ISNUMBER($U$51),$B$39=1),$U$51,HLOOKUP(INDIRECT(ADDRESS(2,COLUMN())),OFFSET($BN$2,0,0,ROW()-1,60),ROW()-1,FALSE))</f>
        <v>60.805999999999997</v>
      </c>
      <c r="V16">
        <f ca="1">IF(AND(ISNUMBER($V$51),$B$39=1),$V$51,HLOOKUP(INDIRECT(ADDRESS(2,COLUMN())),OFFSET($BN$2,0,0,ROW()-1,60),ROW()-1,FALSE))</f>
        <v>44.584000000000003</v>
      </c>
      <c r="W16">
        <f ca="1">IF(AND(ISNUMBER($W$51),$B$39=1),$W$51,HLOOKUP(INDIRECT(ADDRESS(2,COLUMN())),OFFSET($BN$2,0,0,ROW()-1,60),ROW()-1,FALSE))</f>
        <v>33.75</v>
      </c>
      <c r="X16">
        <f ca="1">IF(AND(ISNUMBER($X$51),$B$39=1),$X$51,HLOOKUP(INDIRECT(ADDRESS(2,COLUMN())),OFFSET($BN$2,0,0,ROW()-1,60),ROW()-1,FALSE))</f>
        <v>7.09</v>
      </c>
      <c r="Y16">
        <f ca="1">IF(AND(ISNUMBER($Y$51),$B$39=1),$Y$51,HLOOKUP(INDIRECT(ADDRESS(2,COLUMN())),OFFSET($BN$2,0,0,ROW()-1,60),ROW()-1,FALSE))</f>
        <v>2.1509999999999998</v>
      </c>
      <c r="Z16">
        <f ca="1">IF(AND(ISNUMBER($Z$51),$B$39=1),$Z$51,HLOOKUP(INDIRECT(ADDRESS(2,COLUMN())),OFFSET($BN$2,0,0,ROW()-1,60),ROW()-1,FALSE))</f>
        <v>0.53700000000000003</v>
      </c>
      <c r="AA16">
        <f ca="1">IF(AND(ISNUMBER($AA$51),$B$39=1),$AA$51,HLOOKUP(INDIRECT(ADDRESS(2,COLUMN())),OFFSET($BN$2,0,0,ROW()-1,60),ROW()-1,FALSE))</f>
        <v>0</v>
      </c>
      <c r="AB16">
        <f ca="1">IF(AND(ISNUMBER($AB$51),$B$39=1),$AB$51,HLOOKUP(INDIRECT(ADDRESS(2,COLUMN())),OFFSET($BN$2,0,0,ROW()-1,60),ROW()-1,FALSE))</f>
        <v>0</v>
      </c>
      <c r="AC16">
        <f ca="1">IF(AND(ISNUMBER($AC$51),$B$39=1),$AC$51,HLOOKUP(INDIRECT(ADDRESS(2,COLUMN())),OFFSET($BN$2,0,0,ROW()-1,60),ROW()-1,FALSE))</f>
        <v>0</v>
      </c>
      <c r="AD16">
        <f ca="1">IF(AND(ISNUMBER($AD$51),$B$39=1),$AD$51,HLOOKUP(INDIRECT(ADDRESS(2,COLUMN())),OFFSET($BN$2,0,0,ROW()-1,60),ROW()-1,FALSE))</f>
        <v>0</v>
      </c>
      <c r="AE16">
        <f ca="1">IF(AND(ISNUMBER($AE$51),$B$39=1),$AE$51,HLOOKUP(INDIRECT(ADDRESS(2,COLUMN())),OFFSET($BN$2,0,0,ROW()-1,60),ROW()-1,FALSE))</f>
        <v>0</v>
      </c>
      <c r="AF16">
        <f ca="1">IF(AND(ISNUMBER($AF$51),$B$39=1),$AF$51,HLOOKUP(INDIRECT(ADDRESS(2,COLUMN())),OFFSET($BN$2,0,0,ROW()-1,60),ROW()-1,FALSE))</f>
        <v>0</v>
      </c>
      <c r="AG16">
        <f ca="1">IF(AND(ISNUMBER($AG$51),$B$39=1),$AG$51,HLOOKUP(INDIRECT(ADDRESS(2,COLUMN())),OFFSET($BN$2,0,0,ROW()-1,60),ROW()-1,FALSE))</f>
        <v>0</v>
      </c>
      <c r="AH16">
        <f ca="1">IF(AND(ISNUMBER($AH$51),$B$39=1),$AH$51,HLOOKUP(INDIRECT(ADDRESS(2,COLUMN())),OFFSET($BN$2,0,0,ROW()-1,60),ROW()-1,FALSE))</f>
        <v>0</v>
      </c>
      <c r="AI16">
        <f ca="1">IF(AND(ISNUMBER($AI$51),$B$39=1),$AI$51,HLOOKUP(INDIRECT(ADDRESS(2,COLUMN())),OFFSET($BN$2,0,0,ROW()-1,60),ROW()-1,FALSE))</f>
        <v>0</v>
      </c>
      <c r="AJ16">
        <f ca="1">IF(AND(ISNUMBER($AJ$51),$B$39=1),$AJ$51,HLOOKUP(INDIRECT(ADDRESS(2,COLUMN())),OFFSET($BN$2,0,0,ROW()-1,60),ROW()-1,FALSE))</f>
        <v>0</v>
      </c>
      <c r="AK16">
        <f ca="1">IF(AND(ISNUMBER($AK$51),$B$39=1),$AK$51,HLOOKUP(INDIRECT(ADDRESS(2,COLUMN())),OFFSET($BN$2,0,0,ROW()-1,60),ROW()-1,FALSE))</f>
        <v>0</v>
      </c>
      <c r="AL16">
        <f ca="1">IF(AND(ISNUMBER($AL$51),$B$39=1),$AL$51,HLOOKUP(INDIRECT(ADDRESS(2,COLUMN())),OFFSET($BN$2,0,0,ROW()-1,60),ROW()-1,FALSE))</f>
        <v>0</v>
      </c>
      <c r="AM16">
        <f ca="1">IF(AND(ISNUMBER($AM$51),$B$39=1),$AM$51,HLOOKUP(INDIRECT(ADDRESS(2,COLUMN())),OFFSET($BN$2,0,0,ROW()-1,60),ROW()-1,FALSE))</f>
        <v>0</v>
      </c>
      <c r="AN16">
        <f ca="1">IF(AND(ISNUMBER($AN$51),$B$39=1),$AN$51,HLOOKUP(INDIRECT(ADDRESS(2,COLUMN())),OFFSET($BN$2,0,0,ROW()-1,60),ROW()-1,FALSE))</f>
        <v>0</v>
      </c>
      <c r="AO16">
        <f ca="1">IF(AND(ISNUMBER($AO$51),$B$39=1),$AO$51,HLOOKUP(INDIRECT(ADDRESS(2,COLUMN())),OFFSET($BN$2,0,0,ROW()-1,60),ROW()-1,FALSE))</f>
        <v>0</v>
      </c>
      <c r="AP16">
        <f ca="1">IF(AND(ISNUMBER($AP$51),$B$39=1),$AP$51,HLOOKUP(INDIRECT(ADDRESS(2,COLUMN())),OFFSET($BN$2,0,0,ROW()-1,60),ROW()-1,FALSE))</f>
        <v>0</v>
      </c>
      <c r="AQ16">
        <f ca="1">IF(AND(ISNUMBER($AQ$51),$B$39=1),$AQ$51,HLOOKUP(INDIRECT(ADDRESS(2,COLUMN())),OFFSET($BN$2,0,0,ROW()-1,60),ROW()-1,FALSE))</f>
        <v>0</v>
      </c>
      <c r="AR16">
        <f ca="1">IF(AND(ISNUMBER($AR$51),$B$39=1),$AR$51,HLOOKUP(INDIRECT(ADDRESS(2,COLUMN())),OFFSET($BN$2,0,0,ROW()-1,60),ROW()-1,FALSE))</f>
        <v>0</v>
      </c>
      <c r="AS16">
        <f ca="1">IF(AND(ISNUMBER($AS$51),$B$39=1),$AS$51,HLOOKUP(INDIRECT(ADDRESS(2,COLUMN())),OFFSET($BN$2,0,0,ROW()-1,60),ROW()-1,FALSE))</f>
        <v>0</v>
      </c>
      <c r="AT16">
        <f ca="1">IF(AND(ISNUMBER($AT$51),$B$39=1),$AT$51,HLOOKUP(INDIRECT(ADDRESS(2,COLUMN())),OFFSET($BN$2,0,0,ROW()-1,60),ROW()-1,FALSE))</f>
        <v>0</v>
      </c>
      <c r="AU16">
        <f ca="1">IF(AND(ISNUMBER($AU$51),$B$39=1),$AU$51,HLOOKUP(INDIRECT(ADDRESS(2,COLUMN())),OFFSET($BN$2,0,0,ROW()-1,60),ROW()-1,FALSE))</f>
        <v>0</v>
      </c>
      <c r="AV16">
        <f ca="1">IF(AND(ISNUMBER($AV$51),$B$39=1),$AV$51,HLOOKUP(INDIRECT(ADDRESS(2,COLUMN())),OFFSET($BN$2,0,0,ROW()-1,60),ROW()-1,FALSE))</f>
        <v>0</v>
      </c>
      <c r="AW16">
        <f ca="1">IF(AND(ISNUMBER($AW$51),$B$39=1),$AW$51,HLOOKUP(INDIRECT(ADDRESS(2,COLUMN())),OFFSET($BN$2,0,0,ROW()-1,60),ROW()-1,FALSE))</f>
        <v>0</v>
      </c>
      <c r="AX16">
        <f ca="1">IF(AND(ISNUMBER($AX$51),$B$39=1),$AX$51,HLOOKUP(INDIRECT(ADDRESS(2,COLUMN())),OFFSET($BN$2,0,0,ROW()-1,60),ROW()-1,FALSE))</f>
        <v>0</v>
      </c>
      <c r="AY16">
        <f ca="1">IF(AND(ISNUMBER($AY$51),$B$39=1),$AY$51,HLOOKUP(INDIRECT(ADDRESS(2,COLUMN())),OFFSET($BN$2,0,0,ROW()-1,60),ROW()-1,FALSE))</f>
        <v>0</v>
      </c>
      <c r="AZ16">
        <f ca="1">IF(AND(ISNUMBER($AZ$51),$B$39=1),$AZ$51,HLOOKUP(INDIRECT(ADDRESS(2,COLUMN())),OFFSET($BN$2,0,0,ROW()-1,60),ROW()-1,FALSE))</f>
        <v>0</v>
      </c>
      <c r="BA16">
        <f ca="1">IF(AND(ISNUMBER($BA$51),$B$39=1),$BA$51,HLOOKUP(INDIRECT(ADDRESS(2,COLUMN())),OFFSET($BN$2,0,0,ROW()-1,60),ROW()-1,FALSE))</f>
        <v>0</v>
      </c>
      <c r="BB16">
        <f ca="1">IF(AND(ISNUMBER($BB$51),$B$39=1),$BB$51,HLOOKUP(INDIRECT(ADDRESS(2,COLUMN())),OFFSET($BN$2,0,0,ROW()-1,60),ROW()-1,FALSE))</f>
        <v>0</v>
      </c>
      <c r="BC16">
        <f ca="1">IF(AND(ISNUMBER($BC$51),$B$39=1),$BC$51,HLOOKUP(INDIRECT(ADDRESS(2,COLUMN())),OFFSET($BN$2,0,0,ROW()-1,60),ROW()-1,FALSE))</f>
        <v>0</v>
      </c>
      <c r="BD16">
        <f ca="1">IF(AND(ISNUMBER($BD$51),$B$39=1),$BD$51,HLOOKUP(INDIRECT(ADDRESS(2,COLUMN())),OFFSET($BN$2,0,0,ROW()-1,60),ROW()-1,FALSE))</f>
        <v>0</v>
      </c>
      <c r="BE16">
        <f ca="1">IF(AND(ISNUMBER($BE$51),$B$39=1),$BE$51,HLOOKUP(INDIRECT(ADDRESS(2,COLUMN())),OFFSET($BN$2,0,0,ROW()-1,60),ROW()-1,FALSE))</f>
        <v>0</v>
      </c>
      <c r="BF16">
        <f ca="1">IF(AND(ISNUMBER($BF$51),$B$39=1),$BF$51,HLOOKUP(INDIRECT(ADDRESS(2,COLUMN())),OFFSET($BN$2,0,0,ROW()-1,60),ROW()-1,FALSE))</f>
        <v>0</v>
      </c>
      <c r="BG16">
        <f ca="1">IF(AND(ISNUMBER($BG$51),$B$39=1),$BG$51,HLOOKUP(INDIRECT(ADDRESS(2,COLUMN())),OFFSET($BN$2,0,0,ROW()-1,60),ROW()-1,FALSE))</f>
        <v>0</v>
      </c>
      <c r="BH16">
        <f ca="1">IF(AND(ISNUMBER($BH$51),$B$39=1),$BH$51,HLOOKUP(INDIRECT(ADDRESS(2,COLUMN())),OFFSET($BN$2,0,0,ROW()-1,60),ROW()-1,FALSE))</f>
        <v>0</v>
      </c>
      <c r="BI16">
        <f ca="1">IF(AND(ISNUMBER($BI$51),$B$39=1),$BI$51,HLOOKUP(INDIRECT(ADDRESS(2,COLUMN())),OFFSET($BN$2,0,0,ROW()-1,60),ROW()-1,FALSE))</f>
        <v>0</v>
      </c>
      <c r="BJ16">
        <f ca="1">IF(AND(ISNUMBER($BJ$51),$B$39=1),$BJ$51,HLOOKUP(INDIRECT(ADDRESS(2,COLUMN())),OFFSET($BN$2,0,0,ROW()-1,60),ROW()-1,FALSE))</f>
        <v>0</v>
      </c>
      <c r="BK16">
        <f ca="1">IF(AND(ISNUMBER($BK$51),$B$39=1),$BK$51,HLOOKUP(INDIRECT(ADDRESS(2,COLUMN())),OFFSET($BN$2,0,0,ROW()-1,60),ROW()-1,FALSE))</f>
        <v>0</v>
      </c>
      <c r="BL16">
        <f ca="1">IF(AND(ISNUMBER($BL$51),$B$39=1),$BL$51,HLOOKUP(INDIRECT(ADDRESS(2,COLUMN())),OFFSET($BN$2,0,0,ROW()-1,60),ROW()-1,FALSE))</f>
        <v>0</v>
      </c>
      <c r="BM16">
        <f ca="1">IF(AND(ISNUMBER($BM$51),$B$39=1),$BM$51,HLOOKUP(INDIRECT(ADDRESS(2,COLUMN())),OFFSET($BN$2,0,0,ROW()-1,60),ROW()-1,FALSE))</f>
        <v>0</v>
      </c>
      <c r="BN16">
        <f>354.3615058</f>
        <v>354.36150579999997</v>
      </c>
      <c r="BO16">
        <f>387.92</f>
        <v>387.92</v>
      </c>
      <c r="BP16">
        <f>374.627</f>
        <v>374.62700000000001</v>
      </c>
      <c r="BQ16">
        <f>381.568</f>
        <v>381.56799999999998</v>
      </c>
      <c r="BR16">
        <f>238.104</f>
        <v>238.10400000000001</v>
      </c>
      <c r="BS16">
        <f>219.286</f>
        <v>219.286</v>
      </c>
      <c r="BT16">
        <f>219.119</f>
        <v>219.119</v>
      </c>
      <c r="BU16">
        <f>204.47</f>
        <v>204.47</v>
      </c>
      <c r="BV16">
        <f>171.565</f>
        <v>171.565</v>
      </c>
      <c r="BW16">
        <f>169.003</f>
        <v>169.00299999999999</v>
      </c>
      <c r="BX16">
        <f>140.826</f>
        <v>140.82599999999999</v>
      </c>
      <c r="BY16">
        <f>126.037</f>
        <v>126.03700000000001</v>
      </c>
      <c r="BZ16">
        <f>102.329</f>
        <v>102.32899999999999</v>
      </c>
      <c r="CA16">
        <f>91.26</f>
        <v>91.26</v>
      </c>
      <c r="CB16">
        <f>85.726</f>
        <v>85.725999999999999</v>
      </c>
      <c r="CC16">
        <f>60.806</f>
        <v>60.805999999999997</v>
      </c>
      <c r="CD16">
        <f>44.584</f>
        <v>44.584000000000003</v>
      </c>
      <c r="CE16">
        <f>33.75</f>
        <v>33.75</v>
      </c>
      <c r="CF16">
        <f>7.09</f>
        <v>7.09</v>
      </c>
      <c r="CG16">
        <f>2.151</f>
        <v>2.1509999999999998</v>
      </c>
      <c r="CH16">
        <f>0.537</f>
        <v>0.53700000000000003</v>
      </c>
      <c r="CI16">
        <f>0</f>
        <v>0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f>0</f>
        <v>0</v>
      </c>
      <c r="CR16">
        <f>0</f>
        <v>0</v>
      </c>
      <c r="CS16">
        <f>0</f>
        <v>0</v>
      </c>
      <c r="CT16">
        <f>0</f>
        <v>0</v>
      </c>
      <c r="CU16">
        <f>0</f>
        <v>0</v>
      </c>
      <c r="CV16">
        <f>0</f>
        <v>0</v>
      </c>
      <c r="CW16">
        <f>0</f>
        <v>0</v>
      </c>
      <c r="CX16">
        <f>0</f>
        <v>0</v>
      </c>
      <c r="CY16">
        <f>0</f>
        <v>0</v>
      </c>
      <c r="CZ16">
        <f>0</f>
        <v>0</v>
      </c>
      <c r="DA16">
        <f>0</f>
        <v>0</v>
      </c>
      <c r="DB16">
        <f>0</f>
        <v>0</v>
      </c>
      <c r="DC16">
        <f>0</f>
        <v>0</v>
      </c>
      <c r="DD16">
        <f>0</f>
        <v>0</v>
      </c>
      <c r="DE16">
        <f>0</f>
        <v>0</v>
      </c>
      <c r="DF16">
        <f>0</f>
        <v>0</v>
      </c>
      <c r="DG16">
        <f>0</f>
        <v>0</v>
      </c>
      <c r="DH16">
        <f>0</f>
        <v>0</v>
      </c>
      <c r="DI16">
        <f>0</f>
        <v>0</v>
      </c>
      <c r="DJ16">
        <f>0</f>
        <v>0</v>
      </c>
      <c r="DK16">
        <f>0</f>
        <v>0</v>
      </c>
      <c r="DL16">
        <f>0</f>
        <v>0</v>
      </c>
      <c r="DM16">
        <f>0</f>
        <v>0</v>
      </c>
      <c r="DN16">
        <f>0</f>
        <v>0</v>
      </c>
      <c r="DO16">
        <f>0</f>
        <v>0</v>
      </c>
      <c r="DP16">
        <f>0</f>
        <v>0</v>
      </c>
      <c r="DQ16">
        <f>0</f>
        <v>0</v>
      </c>
      <c r="DR16">
        <f>0</f>
        <v>0</v>
      </c>
      <c r="DS16">
        <f>0</f>
        <v>0</v>
      </c>
      <c r="DT16">
        <f>0</f>
        <v>0</v>
      </c>
      <c r="DU16">
        <f>0</f>
        <v>0</v>
      </c>
    </row>
    <row r="17" spans="1:125">
      <c r="A17" t="str">
        <f>"    独栋住宅房地产投资信托同店净营业利润增长"</f>
        <v xml:space="preserve">    独栋住宅房地产投资信托同店净营业利润增长</v>
      </c>
      <c r="B17" t="str">
        <f>"RECFSSSF Index"</f>
        <v>RECFSSSF Index</v>
      </c>
      <c r="C17" t="str">
        <f>"PR005"</f>
        <v>PR005</v>
      </c>
      <c r="D17" t="str">
        <f>"PX_LAST"</f>
        <v>PX_LAST</v>
      </c>
      <c r="E17" t="str">
        <f>"动态"</f>
        <v>动态</v>
      </c>
      <c r="F17">
        <f ca="1">IF(AND(ISNUMBER($F$52),$B$39=1),$F$52,HLOOKUP(INDIRECT(ADDRESS(2,COLUMN())),OFFSET($BN$2,0,0,ROW()-1,60),ROW()-1,FALSE))</f>
        <v>6.0063084450000002</v>
      </c>
      <c r="G17">
        <f ca="1">IF(AND(ISNUMBER($G$52),$B$39=1),$G$52,HLOOKUP(INDIRECT(ADDRESS(2,COLUMN())),OFFSET($BN$2,0,0,ROW()-1,60),ROW()-1,FALSE))</f>
        <v>6.7626686720000002</v>
      </c>
      <c r="H17">
        <f ca="1">IF(AND(ISNUMBER($H$52),$B$39=1),$H$52,HLOOKUP(INDIRECT(ADDRESS(2,COLUMN())),OFFSET($BN$2,0,0,ROW()-1,60),ROW()-1,FALSE))</f>
        <v>6.830291087</v>
      </c>
      <c r="I17">
        <f ca="1">IF(AND(ISNUMBER($I$52),$B$39=1),$I$52,HLOOKUP(INDIRECT(ADDRESS(2,COLUMN())),OFFSET($BN$2,0,0,ROW()-1,60),ROW()-1,FALSE))</f>
        <v>6.6476969920000002</v>
      </c>
      <c r="J17">
        <f ca="1">IF(AND(ISNUMBER($J$52),$B$39=1),$J$52,HLOOKUP(INDIRECT(ADDRESS(2,COLUMN())),OFFSET($BN$2,0,0,ROW()-1,60),ROW()-1,FALSE))</f>
        <v>13.00590405</v>
      </c>
      <c r="K17">
        <f ca="1">IF(AND(ISNUMBER($K$52),$B$39=1),$K$52,HLOOKUP(INDIRECT(ADDRESS(2,COLUMN())),OFFSET($BN$2,0,0,ROW()-1,60),ROW()-1,FALSE))</f>
        <v>8.7021288899999991</v>
      </c>
      <c r="L17">
        <f ca="1">IF(AND(ISNUMBER($L$52),$B$39=1),$L$52,HLOOKUP(INDIRECT(ADDRESS(2,COLUMN())),OFFSET($BN$2,0,0,ROW()-1,60),ROW()-1,FALSE))</f>
        <v>8.8186380779999993</v>
      </c>
      <c r="M17">
        <f ca="1">IF(AND(ISNUMBER($M$52),$B$39=1),$M$52,HLOOKUP(INDIRECT(ADDRESS(2,COLUMN())),OFFSET($BN$2,0,0,ROW()-1,60),ROW()-1,FALSE))</f>
        <v>7.4502994649999996</v>
      </c>
      <c r="N17">
        <f ca="1">IF(AND(ISNUMBER($N$52),$B$39=1),$N$52,HLOOKUP(INDIRECT(ADDRESS(2,COLUMN())),OFFSET($BN$2,0,0,ROW()-1,60),ROW()-1,FALSE))</f>
        <v>10.333370909999999</v>
      </c>
      <c r="O17">
        <f ca="1">IF(AND(ISNUMBER($O$52),$B$39=1),$O$52,HLOOKUP(INDIRECT(ADDRESS(2,COLUMN())),OFFSET($BN$2,0,0,ROW()-1,60),ROW()-1,FALSE))</f>
        <v>10.13544018</v>
      </c>
      <c r="P17">
        <f ca="1">IF(AND(ISNUMBER($P$52),$B$39=1),$P$52,HLOOKUP(INDIRECT(ADDRESS(2,COLUMN())),OFFSET($BN$2,0,0,ROW()-1,60),ROW()-1,FALSE))</f>
        <v>2.5897339499999998</v>
      </c>
      <c r="Q17">
        <f ca="1">IF(AND(ISNUMBER($Q$52),$B$39=1),$Q$52,HLOOKUP(INDIRECT(ADDRESS(2,COLUMN())),OFFSET($BN$2,0,0,ROW()-1,60),ROW()-1,FALSE))</f>
        <v>2.7325905289999999</v>
      </c>
      <c r="R17">
        <f ca="1">IF(AND(ISNUMBER($R$52),$B$39=1),$R$52,HLOOKUP(INDIRECT(ADDRESS(2,COLUMN())),OFFSET($BN$2,0,0,ROW()-1,60),ROW()-1,FALSE))</f>
        <v>0</v>
      </c>
      <c r="S17">
        <f ca="1">IF(AND(ISNUMBER($S$52),$B$39=1),$S$52,HLOOKUP(INDIRECT(ADDRESS(2,COLUMN())),OFFSET($BN$2,0,0,ROW()-1,60),ROW()-1,FALSE))</f>
        <v>0</v>
      </c>
      <c r="T17">
        <f ca="1">IF(AND(ISNUMBER($T$52),$B$39=1),$T$52,HLOOKUP(INDIRECT(ADDRESS(2,COLUMN())),OFFSET($BN$2,0,0,ROW()-1,60),ROW()-1,FALSE))</f>
        <v>0</v>
      </c>
      <c r="U17">
        <f ca="1">IF(AND(ISNUMBER($U$52),$B$39=1),$U$52,HLOOKUP(INDIRECT(ADDRESS(2,COLUMN())),OFFSET($BN$2,0,0,ROW()-1,60),ROW()-1,FALSE))</f>
        <v>0</v>
      </c>
      <c r="V17">
        <f ca="1">IF(AND(ISNUMBER($V$52),$B$39=1),$V$52,HLOOKUP(INDIRECT(ADDRESS(2,COLUMN())),OFFSET($BN$2,0,0,ROW()-1,60),ROW()-1,FALSE))</f>
        <v>0</v>
      </c>
      <c r="W17">
        <f ca="1">IF(AND(ISNUMBER($W$52),$B$39=1),$W$52,HLOOKUP(INDIRECT(ADDRESS(2,COLUMN())),OFFSET($BN$2,0,0,ROW()-1,60),ROW()-1,FALSE))</f>
        <v>0</v>
      </c>
      <c r="X17">
        <f ca="1">IF(AND(ISNUMBER($X$52),$B$39=1),$X$52,HLOOKUP(INDIRECT(ADDRESS(2,COLUMN())),OFFSET($BN$2,0,0,ROW()-1,60),ROW()-1,FALSE))</f>
        <v>0</v>
      </c>
      <c r="Y17">
        <f ca="1">IF(AND(ISNUMBER($Y$52),$B$39=1),$Y$52,HLOOKUP(INDIRECT(ADDRESS(2,COLUMN())),OFFSET($BN$2,0,0,ROW()-1,60),ROW()-1,FALSE))</f>
        <v>0</v>
      </c>
      <c r="Z17">
        <f ca="1">IF(AND(ISNUMBER($Z$52),$B$39=1),$Z$52,HLOOKUP(INDIRECT(ADDRESS(2,COLUMN())),OFFSET($BN$2,0,0,ROW()-1,60),ROW()-1,FALSE))</f>
        <v>0</v>
      </c>
      <c r="AA17">
        <f ca="1">IF(AND(ISNUMBER($AA$52),$B$39=1),$AA$52,HLOOKUP(INDIRECT(ADDRESS(2,COLUMN())),OFFSET($BN$2,0,0,ROW()-1,60),ROW()-1,FALSE))</f>
        <v>0</v>
      </c>
      <c r="AB17">
        <f ca="1">IF(AND(ISNUMBER($AB$52),$B$39=1),$AB$52,HLOOKUP(INDIRECT(ADDRESS(2,COLUMN())),OFFSET($BN$2,0,0,ROW()-1,60),ROW()-1,FALSE))</f>
        <v>0</v>
      </c>
      <c r="AC17">
        <f ca="1">IF(AND(ISNUMBER($AC$52),$B$39=1),$AC$52,HLOOKUP(INDIRECT(ADDRESS(2,COLUMN())),OFFSET($BN$2,0,0,ROW()-1,60),ROW()-1,FALSE))</f>
        <v>0</v>
      </c>
      <c r="AD17">
        <f ca="1">IF(AND(ISNUMBER($AD$52),$B$39=1),$AD$52,HLOOKUP(INDIRECT(ADDRESS(2,COLUMN())),OFFSET($BN$2,0,0,ROW()-1,60),ROW()-1,FALSE))</f>
        <v>0</v>
      </c>
      <c r="AE17">
        <f ca="1">IF(AND(ISNUMBER($AE$52),$B$39=1),$AE$52,HLOOKUP(INDIRECT(ADDRESS(2,COLUMN())),OFFSET($BN$2,0,0,ROW()-1,60),ROW()-1,FALSE))</f>
        <v>0</v>
      </c>
      <c r="AF17">
        <f ca="1">IF(AND(ISNUMBER($AF$52),$B$39=1),$AF$52,HLOOKUP(INDIRECT(ADDRESS(2,COLUMN())),OFFSET($BN$2,0,0,ROW()-1,60),ROW()-1,FALSE))</f>
        <v>0</v>
      </c>
      <c r="AG17">
        <f ca="1">IF(AND(ISNUMBER($AG$52),$B$39=1),$AG$52,HLOOKUP(INDIRECT(ADDRESS(2,COLUMN())),OFFSET($BN$2,0,0,ROW()-1,60),ROW()-1,FALSE))</f>
        <v>0</v>
      </c>
      <c r="AH17">
        <f ca="1">IF(AND(ISNUMBER($AH$52),$B$39=1),$AH$52,HLOOKUP(INDIRECT(ADDRESS(2,COLUMN())),OFFSET($BN$2,0,0,ROW()-1,60),ROW()-1,FALSE))</f>
        <v>0</v>
      </c>
      <c r="AI17">
        <f ca="1">IF(AND(ISNUMBER($AI$52),$B$39=1),$AI$52,HLOOKUP(INDIRECT(ADDRESS(2,COLUMN())),OFFSET($BN$2,0,0,ROW()-1,60),ROW()-1,FALSE))</f>
        <v>0</v>
      </c>
      <c r="AJ17">
        <f ca="1">IF(AND(ISNUMBER($AJ$52),$B$39=1),$AJ$52,HLOOKUP(INDIRECT(ADDRESS(2,COLUMN())),OFFSET($BN$2,0,0,ROW()-1,60),ROW()-1,FALSE))</f>
        <v>0</v>
      </c>
      <c r="AK17">
        <f ca="1">IF(AND(ISNUMBER($AK$52),$B$39=1),$AK$52,HLOOKUP(INDIRECT(ADDRESS(2,COLUMN())),OFFSET($BN$2,0,0,ROW()-1,60),ROW()-1,FALSE))</f>
        <v>0</v>
      </c>
      <c r="AL17">
        <f ca="1">IF(AND(ISNUMBER($AL$52),$B$39=1),$AL$52,HLOOKUP(INDIRECT(ADDRESS(2,COLUMN())),OFFSET($BN$2,0,0,ROW()-1,60),ROW()-1,FALSE))</f>
        <v>0</v>
      </c>
      <c r="AM17">
        <f ca="1">IF(AND(ISNUMBER($AM$52),$B$39=1),$AM$52,HLOOKUP(INDIRECT(ADDRESS(2,COLUMN())),OFFSET($BN$2,0,0,ROW()-1,60),ROW()-1,FALSE))</f>
        <v>0</v>
      </c>
      <c r="AN17">
        <f ca="1">IF(AND(ISNUMBER($AN$52),$B$39=1),$AN$52,HLOOKUP(INDIRECT(ADDRESS(2,COLUMN())),OFFSET($BN$2,0,0,ROW()-1,60),ROW()-1,FALSE))</f>
        <v>0</v>
      </c>
      <c r="AO17">
        <f ca="1">IF(AND(ISNUMBER($AO$52),$B$39=1),$AO$52,HLOOKUP(INDIRECT(ADDRESS(2,COLUMN())),OFFSET($BN$2,0,0,ROW()-1,60),ROW()-1,FALSE))</f>
        <v>0</v>
      </c>
      <c r="AP17">
        <f ca="1">IF(AND(ISNUMBER($AP$52),$B$39=1),$AP$52,HLOOKUP(INDIRECT(ADDRESS(2,COLUMN())),OFFSET($BN$2,0,0,ROW()-1,60),ROW()-1,FALSE))</f>
        <v>0</v>
      </c>
      <c r="AQ17">
        <f ca="1">IF(AND(ISNUMBER($AQ$52),$B$39=1),$AQ$52,HLOOKUP(INDIRECT(ADDRESS(2,COLUMN())),OFFSET($BN$2,0,0,ROW()-1,60),ROW()-1,FALSE))</f>
        <v>0</v>
      </c>
      <c r="AR17">
        <f ca="1">IF(AND(ISNUMBER($AR$52),$B$39=1),$AR$52,HLOOKUP(INDIRECT(ADDRESS(2,COLUMN())),OFFSET($BN$2,0,0,ROW()-1,60),ROW()-1,FALSE))</f>
        <v>0</v>
      </c>
      <c r="AS17">
        <f ca="1">IF(AND(ISNUMBER($AS$52),$B$39=1),$AS$52,HLOOKUP(INDIRECT(ADDRESS(2,COLUMN())),OFFSET($BN$2,0,0,ROW()-1,60),ROW()-1,FALSE))</f>
        <v>0</v>
      </c>
      <c r="AT17">
        <f ca="1">IF(AND(ISNUMBER($AT$52),$B$39=1),$AT$52,HLOOKUP(INDIRECT(ADDRESS(2,COLUMN())),OFFSET($BN$2,0,0,ROW()-1,60),ROW()-1,FALSE))</f>
        <v>0</v>
      </c>
      <c r="AU17">
        <f ca="1">IF(AND(ISNUMBER($AU$52),$B$39=1),$AU$52,HLOOKUP(INDIRECT(ADDRESS(2,COLUMN())),OFFSET($BN$2,0,0,ROW()-1,60),ROW()-1,FALSE))</f>
        <v>0</v>
      </c>
      <c r="AV17">
        <f ca="1">IF(AND(ISNUMBER($AV$52),$B$39=1),$AV$52,HLOOKUP(INDIRECT(ADDRESS(2,COLUMN())),OFFSET($BN$2,0,0,ROW()-1,60),ROW()-1,FALSE))</f>
        <v>0</v>
      </c>
      <c r="AW17">
        <f ca="1">IF(AND(ISNUMBER($AW$52),$B$39=1),$AW$52,HLOOKUP(INDIRECT(ADDRESS(2,COLUMN())),OFFSET($BN$2,0,0,ROW()-1,60),ROW()-1,FALSE))</f>
        <v>0</v>
      </c>
      <c r="AX17">
        <f ca="1">IF(AND(ISNUMBER($AX$52),$B$39=1),$AX$52,HLOOKUP(INDIRECT(ADDRESS(2,COLUMN())),OFFSET($BN$2,0,0,ROW()-1,60),ROW()-1,FALSE))</f>
        <v>0</v>
      </c>
      <c r="AY17">
        <f ca="1">IF(AND(ISNUMBER($AY$52),$B$39=1),$AY$52,HLOOKUP(INDIRECT(ADDRESS(2,COLUMN())),OFFSET($BN$2,0,0,ROW()-1,60),ROW()-1,FALSE))</f>
        <v>0</v>
      </c>
      <c r="AZ17">
        <f ca="1">IF(AND(ISNUMBER($AZ$52),$B$39=1),$AZ$52,HLOOKUP(INDIRECT(ADDRESS(2,COLUMN())),OFFSET($BN$2,0,0,ROW()-1,60),ROW()-1,FALSE))</f>
        <v>0</v>
      </c>
      <c r="BA17">
        <f ca="1">IF(AND(ISNUMBER($BA$52),$B$39=1),$BA$52,HLOOKUP(INDIRECT(ADDRESS(2,COLUMN())),OFFSET($BN$2,0,0,ROW()-1,60),ROW()-1,FALSE))</f>
        <v>0</v>
      </c>
      <c r="BB17">
        <f ca="1">IF(AND(ISNUMBER($BB$52),$B$39=1),$BB$52,HLOOKUP(INDIRECT(ADDRESS(2,COLUMN())),OFFSET($BN$2,0,0,ROW()-1,60),ROW()-1,FALSE))</f>
        <v>0</v>
      </c>
      <c r="BC17">
        <f ca="1">IF(AND(ISNUMBER($BC$52),$B$39=1),$BC$52,HLOOKUP(INDIRECT(ADDRESS(2,COLUMN())),OFFSET($BN$2,0,0,ROW()-1,60),ROW()-1,FALSE))</f>
        <v>0</v>
      </c>
      <c r="BD17">
        <f ca="1">IF(AND(ISNUMBER($BD$52),$B$39=1),$BD$52,HLOOKUP(INDIRECT(ADDRESS(2,COLUMN())),OFFSET($BN$2,0,0,ROW()-1,60),ROW()-1,FALSE))</f>
        <v>0</v>
      </c>
      <c r="BE17">
        <f ca="1">IF(AND(ISNUMBER($BE$52),$B$39=1),$BE$52,HLOOKUP(INDIRECT(ADDRESS(2,COLUMN())),OFFSET($BN$2,0,0,ROW()-1,60),ROW()-1,FALSE))</f>
        <v>0</v>
      </c>
      <c r="BF17">
        <f ca="1">IF(AND(ISNUMBER($BF$52),$B$39=1),$BF$52,HLOOKUP(INDIRECT(ADDRESS(2,COLUMN())),OFFSET($BN$2,0,0,ROW()-1,60),ROW()-1,FALSE))</f>
        <v>0</v>
      </c>
      <c r="BG17">
        <f ca="1">IF(AND(ISNUMBER($BG$52),$B$39=1),$BG$52,HLOOKUP(INDIRECT(ADDRESS(2,COLUMN())),OFFSET($BN$2,0,0,ROW()-1,60),ROW()-1,FALSE))</f>
        <v>0</v>
      </c>
      <c r="BH17">
        <f ca="1">IF(AND(ISNUMBER($BH$52),$B$39=1),$BH$52,HLOOKUP(INDIRECT(ADDRESS(2,COLUMN())),OFFSET($BN$2,0,0,ROW()-1,60),ROW()-1,FALSE))</f>
        <v>0</v>
      </c>
      <c r="BI17">
        <f ca="1">IF(AND(ISNUMBER($BI$52),$B$39=1),$BI$52,HLOOKUP(INDIRECT(ADDRESS(2,COLUMN())),OFFSET($BN$2,0,0,ROW()-1,60),ROW()-1,FALSE))</f>
        <v>0</v>
      </c>
      <c r="BJ17">
        <f ca="1">IF(AND(ISNUMBER($BJ$52),$B$39=1),$BJ$52,HLOOKUP(INDIRECT(ADDRESS(2,COLUMN())),OFFSET($BN$2,0,0,ROW()-1,60),ROW()-1,FALSE))</f>
        <v>0</v>
      </c>
      <c r="BK17">
        <f ca="1">IF(AND(ISNUMBER($BK$52),$B$39=1),$BK$52,HLOOKUP(INDIRECT(ADDRESS(2,COLUMN())),OFFSET($BN$2,0,0,ROW()-1,60),ROW()-1,FALSE))</f>
        <v>0</v>
      </c>
      <c r="BL17">
        <f ca="1">IF(AND(ISNUMBER($BL$52),$B$39=1),$BL$52,HLOOKUP(INDIRECT(ADDRESS(2,COLUMN())),OFFSET($BN$2,0,0,ROW()-1,60),ROW()-1,FALSE))</f>
        <v>0</v>
      </c>
      <c r="BM17">
        <f ca="1">IF(AND(ISNUMBER($BM$52),$B$39=1),$BM$52,HLOOKUP(INDIRECT(ADDRESS(2,COLUMN())),OFFSET($BN$2,0,0,ROW()-1,60),ROW()-1,FALSE))</f>
        <v>0</v>
      </c>
      <c r="BN17">
        <f>6.006308445</f>
        <v>6.0063084450000002</v>
      </c>
      <c r="BO17">
        <f>6.762668672</f>
        <v>6.7626686720000002</v>
      </c>
      <c r="BP17">
        <f>6.830291087</f>
        <v>6.830291087</v>
      </c>
      <c r="BQ17">
        <f>6.647696992</f>
        <v>6.6476969920000002</v>
      </c>
      <c r="BR17">
        <f>13.00590405</f>
        <v>13.00590405</v>
      </c>
      <c r="BS17">
        <f>8.70212889</f>
        <v>8.7021288899999991</v>
      </c>
      <c r="BT17">
        <f>8.818638078</f>
        <v>8.8186380779999993</v>
      </c>
      <c r="BU17">
        <f>7.450299465</f>
        <v>7.4502994649999996</v>
      </c>
      <c r="BV17">
        <f>10.33337091</f>
        <v>10.333370909999999</v>
      </c>
      <c r="BW17">
        <f>10.13544018</f>
        <v>10.13544018</v>
      </c>
      <c r="BX17">
        <f>2.58973395</f>
        <v>2.5897339499999998</v>
      </c>
      <c r="BY17">
        <f>2.732590529</f>
        <v>2.7325905289999999</v>
      </c>
      <c r="BZ17">
        <f>0</f>
        <v>0</v>
      </c>
      <c r="CA17">
        <f>0</f>
        <v>0</v>
      </c>
      <c r="CB17">
        <f>0</f>
        <v>0</v>
      </c>
      <c r="CC17">
        <f>0</f>
        <v>0</v>
      </c>
      <c r="CD17">
        <f>0</f>
        <v>0</v>
      </c>
      <c r="CE17">
        <f>0</f>
        <v>0</v>
      </c>
      <c r="CF17">
        <f>0</f>
        <v>0</v>
      </c>
      <c r="CG17">
        <f>0</f>
        <v>0</v>
      </c>
      <c r="CH17">
        <f>0</f>
        <v>0</v>
      </c>
      <c r="CI17">
        <f>0</f>
        <v>0</v>
      </c>
      <c r="CJ17">
        <f>0</f>
        <v>0</v>
      </c>
      <c r="CK17">
        <f>0</f>
        <v>0</v>
      </c>
      <c r="CL17">
        <f>0</f>
        <v>0</v>
      </c>
      <c r="CM17">
        <f>0</f>
        <v>0</v>
      </c>
      <c r="CN17">
        <f>0</f>
        <v>0</v>
      </c>
      <c r="CO17">
        <f>0</f>
        <v>0</v>
      </c>
      <c r="CP17">
        <f>0</f>
        <v>0</v>
      </c>
      <c r="CQ17">
        <f>0</f>
        <v>0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>
        <f>0</f>
        <v>0</v>
      </c>
      <c r="CX17">
        <f>0</f>
        <v>0</v>
      </c>
      <c r="CY17">
        <f>0</f>
        <v>0</v>
      </c>
      <c r="CZ17">
        <f>0</f>
        <v>0</v>
      </c>
      <c r="DA17">
        <f>0</f>
        <v>0</v>
      </c>
      <c r="DB17">
        <f>0</f>
        <v>0</v>
      </c>
      <c r="DC17">
        <f>0</f>
        <v>0</v>
      </c>
      <c r="DD17">
        <f>0</f>
        <v>0</v>
      </c>
      <c r="DE17">
        <f>0</f>
        <v>0</v>
      </c>
      <c r="DF17">
        <f>0</f>
        <v>0</v>
      </c>
      <c r="DG17">
        <f>0</f>
        <v>0</v>
      </c>
      <c r="DH17">
        <f>0</f>
        <v>0</v>
      </c>
      <c r="DI17">
        <f>0</f>
        <v>0</v>
      </c>
      <c r="DJ17">
        <f>0</f>
        <v>0</v>
      </c>
      <c r="DK17">
        <f>0</f>
        <v>0</v>
      </c>
      <c r="DL17">
        <f>0</f>
        <v>0</v>
      </c>
      <c r="DM17">
        <f>0</f>
        <v>0</v>
      </c>
      <c r="DN17">
        <f>0</f>
        <v>0</v>
      </c>
      <c r="DO17">
        <f>0</f>
        <v>0</v>
      </c>
      <c r="DP17">
        <f>0</f>
        <v>0</v>
      </c>
      <c r="DQ17">
        <f>0</f>
        <v>0</v>
      </c>
      <c r="DR17">
        <f>0</f>
        <v>0</v>
      </c>
      <c r="DS17">
        <f>0</f>
        <v>0</v>
      </c>
      <c r="DT17">
        <f>0</f>
        <v>0</v>
      </c>
      <c r="DU17">
        <f>0</f>
        <v>0</v>
      </c>
    </row>
    <row r="18" spans="1:125">
      <c r="A18" t="str">
        <f>"    独栋住宅房地产投资信托总股利支付"</f>
        <v xml:space="preserve">    独栋住宅房地产投资信托总股利支付</v>
      </c>
      <c r="B18" t="str">
        <f>"RECFTDSF Index"</f>
        <v>RECFTDSF Index</v>
      </c>
      <c r="C18" t="str">
        <f>"PR005"</f>
        <v>PR005</v>
      </c>
      <c r="D18" t="str">
        <f>"PX_LAST"</f>
        <v>PX_LAST</v>
      </c>
      <c r="E18" t="str">
        <f>"动态"</f>
        <v>动态</v>
      </c>
      <c r="F18">
        <f ca="1">IF(AND(ISNUMBER($F$53),$B$39=1),$F$53,HLOOKUP(INDIRECT(ADDRESS(2,COLUMN())),OFFSET($BN$2,0,0,ROW()-1,60),ROW()-1,FALSE))</f>
        <v>67.655193550000007</v>
      </c>
      <c r="G18">
        <f ca="1">IF(AND(ISNUMBER($G$53),$B$39=1),$G$53,HLOOKUP(INDIRECT(ADDRESS(2,COLUMN())),OFFSET($BN$2,0,0,ROW()-1,60),ROW()-1,FALSE))</f>
        <v>96.566000000000003</v>
      </c>
      <c r="H18">
        <f ca="1">IF(AND(ISNUMBER($H$53),$B$39=1),$H$53,HLOOKUP(INDIRECT(ADDRESS(2,COLUMN())),OFFSET($BN$2,0,0,ROW()-1,60),ROW()-1,FALSE))</f>
        <v>85.74</v>
      </c>
      <c r="I18">
        <f ca="1">IF(AND(ISNUMBER($I$53),$B$39=1),$I$53,HLOOKUP(INDIRECT(ADDRESS(2,COLUMN())),OFFSET($BN$2,0,0,ROW()-1,60),ROW()-1,FALSE))</f>
        <v>57.502000000000002</v>
      </c>
      <c r="J18">
        <f ca="1">IF(AND(ISNUMBER($J$53),$B$39=1),$J$53,HLOOKUP(INDIRECT(ADDRESS(2,COLUMN())),OFFSET($BN$2,0,0,ROW()-1,60),ROW()-1,FALSE))</f>
        <v>57.326000000000001</v>
      </c>
      <c r="K18">
        <f ca="1">IF(AND(ISNUMBER($K$53),$B$39=1),$K$53,HLOOKUP(INDIRECT(ADDRESS(2,COLUMN())),OFFSET($BN$2,0,0,ROW()-1,60),ROW()-1,FALSE))</f>
        <v>59.944000000000003</v>
      </c>
      <c r="L18">
        <f ca="1">IF(AND(ISNUMBER($L$53),$B$39=1),$L$53,HLOOKUP(INDIRECT(ADDRESS(2,COLUMN())),OFFSET($BN$2,0,0,ROW()-1,60),ROW()-1,FALSE))</f>
        <v>52.24</v>
      </c>
      <c r="M18">
        <f ca="1">IF(AND(ISNUMBER($M$53),$B$39=1),$M$53,HLOOKUP(INDIRECT(ADDRESS(2,COLUMN())),OFFSET($BN$2,0,0,ROW()-1,60),ROW()-1,FALSE))</f>
        <v>25.875</v>
      </c>
      <c r="N18">
        <f ca="1">IF(AND(ISNUMBER($N$53),$B$39=1),$N$53,HLOOKUP(INDIRECT(ADDRESS(2,COLUMN())),OFFSET($BN$2,0,0,ROW()-1,60),ROW()-1,FALSE))</f>
        <v>53</v>
      </c>
      <c r="O18">
        <f ca="1">IF(AND(ISNUMBER($O$53),$B$39=1),$O$53,HLOOKUP(INDIRECT(ADDRESS(2,COLUMN())),OFFSET($BN$2,0,0,ROW()-1,60),ROW()-1,FALSE))</f>
        <v>35.500999999999998</v>
      </c>
      <c r="P18">
        <f ca="1">IF(AND(ISNUMBER($P$53),$B$39=1),$P$53,HLOOKUP(INDIRECT(ADDRESS(2,COLUMN())),OFFSET($BN$2,0,0,ROW()-1,60),ROW()-1,FALSE))</f>
        <v>31.125</v>
      </c>
      <c r="Q18">
        <f ca="1">IF(AND(ISNUMBER($Q$53),$B$39=1),$Q$53,HLOOKUP(INDIRECT(ADDRESS(2,COLUMN())),OFFSET($BN$2,0,0,ROW()-1,60),ROW()-1,FALSE))</f>
        <v>30.085999999999999</v>
      </c>
      <c r="R18">
        <f ca="1">IF(AND(ISNUMBER($R$53),$B$39=1),$R$53,HLOOKUP(INDIRECT(ADDRESS(2,COLUMN())),OFFSET($BN$2,0,0,ROW()-1,60),ROW()-1,FALSE))</f>
        <v>29.26</v>
      </c>
      <c r="S18">
        <f ca="1">IF(AND(ISNUMBER($S$53),$B$39=1),$S$53,HLOOKUP(INDIRECT(ADDRESS(2,COLUMN())),OFFSET($BN$2,0,0,ROW()-1,60),ROW()-1,FALSE))</f>
        <v>23.460999999999999</v>
      </c>
      <c r="T18">
        <f ca="1">IF(AND(ISNUMBER($T$53),$B$39=1),$T$53,HLOOKUP(INDIRECT(ADDRESS(2,COLUMN())),OFFSET($BN$2,0,0,ROW()-1,60),ROW()-1,FALSE))</f>
        <v>21.83</v>
      </c>
      <c r="U18">
        <f ca="1">IF(AND(ISNUMBER($U$53),$B$39=1),$U$53,HLOOKUP(INDIRECT(ADDRESS(2,COLUMN())),OFFSET($BN$2,0,0,ROW()-1,60),ROW()-1,FALSE))</f>
        <v>19.370999999999999</v>
      </c>
      <c r="V18">
        <f ca="1">IF(AND(ISNUMBER($V$53),$B$39=1),$V$53,HLOOKUP(INDIRECT(ADDRESS(2,COLUMN())),OFFSET($BN$2,0,0,ROW()-1,60),ROW()-1,FALSE))</f>
        <v>6.9050000000000002</v>
      </c>
      <c r="W18">
        <f ca="1">IF(AND(ISNUMBER($W$53),$B$39=1),$W$53,HLOOKUP(INDIRECT(ADDRESS(2,COLUMN())),OFFSET($BN$2,0,0,ROW()-1,60),ROW()-1,FALSE))</f>
        <v>1.032</v>
      </c>
      <c r="X18">
        <f ca="1">IF(AND(ISNUMBER($X$53),$B$39=1),$X$53,HLOOKUP(INDIRECT(ADDRESS(2,COLUMN())),OFFSET($BN$2,0,0,ROW()-1,60),ROW()-1,FALSE))</f>
        <v>0.45</v>
      </c>
      <c r="Y18">
        <f ca="1">IF(AND(ISNUMBER($Y$53),$B$39=1),$Y$53,HLOOKUP(INDIRECT(ADDRESS(2,COLUMN())),OFFSET($BN$2,0,0,ROW()-1,60),ROW()-1,FALSE))</f>
        <v>0</v>
      </c>
      <c r="Z18">
        <f ca="1">IF(AND(ISNUMBER($Z$53),$B$39=1),$Z$53,HLOOKUP(INDIRECT(ADDRESS(2,COLUMN())),OFFSET($BN$2,0,0,ROW()-1,60),ROW()-1,FALSE))</f>
        <v>0</v>
      </c>
      <c r="AA18">
        <f ca="1">IF(AND(ISNUMBER($AA$53),$B$39=1),$AA$53,HLOOKUP(INDIRECT(ADDRESS(2,COLUMN())),OFFSET($BN$2,0,0,ROW()-1,60),ROW()-1,FALSE))</f>
        <v>0</v>
      </c>
      <c r="AB18">
        <f ca="1">IF(AND(ISNUMBER($AB$53),$B$39=1),$AB$53,HLOOKUP(INDIRECT(ADDRESS(2,COLUMN())),OFFSET($BN$2,0,0,ROW()-1,60),ROW()-1,FALSE))</f>
        <v>0</v>
      </c>
      <c r="AC18">
        <f ca="1">IF(AND(ISNUMBER($AC$53),$B$39=1),$AC$53,HLOOKUP(INDIRECT(ADDRESS(2,COLUMN())),OFFSET($BN$2,0,0,ROW()-1,60),ROW()-1,FALSE))</f>
        <v>0</v>
      </c>
      <c r="AD18">
        <f ca="1">IF(AND(ISNUMBER($AD$53),$B$39=1),$AD$53,HLOOKUP(INDIRECT(ADDRESS(2,COLUMN())),OFFSET($BN$2,0,0,ROW()-1,60),ROW()-1,FALSE))</f>
        <v>0</v>
      </c>
      <c r="AE18">
        <f ca="1">IF(AND(ISNUMBER($AE$53),$B$39=1),$AE$53,HLOOKUP(INDIRECT(ADDRESS(2,COLUMN())),OFFSET($BN$2,0,0,ROW()-1,60),ROW()-1,FALSE))</f>
        <v>0</v>
      </c>
      <c r="AF18">
        <f ca="1">IF(AND(ISNUMBER($AF$53),$B$39=1),$AF$53,HLOOKUP(INDIRECT(ADDRESS(2,COLUMN())),OFFSET($BN$2,0,0,ROW()-1,60),ROW()-1,FALSE))</f>
        <v>0</v>
      </c>
      <c r="AG18">
        <f ca="1">IF(AND(ISNUMBER($AG$53),$B$39=1),$AG$53,HLOOKUP(INDIRECT(ADDRESS(2,COLUMN())),OFFSET($BN$2,0,0,ROW()-1,60),ROW()-1,FALSE))</f>
        <v>0</v>
      </c>
      <c r="AH18">
        <f ca="1">IF(AND(ISNUMBER($AH$53),$B$39=1),$AH$53,HLOOKUP(INDIRECT(ADDRESS(2,COLUMN())),OFFSET($BN$2,0,0,ROW()-1,60),ROW()-1,FALSE))</f>
        <v>0</v>
      </c>
      <c r="AI18">
        <f ca="1">IF(AND(ISNUMBER($AI$53),$B$39=1),$AI$53,HLOOKUP(INDIRECT(ADDRESS(2,COLUMN())),OFFSET($BN$2,0,0,ROW()-1,60),ROW()-1,FALSE))</f>
        <v>0</v>
      </c>
      <c r="AJ18">
        <f ca="1">IF(AND(ISNUMBER($AJ$53),$B$39=1),$AJ$53,HLOOKUP(INDIRECT(ADDRESS(2,COLUMN())),OFFSET($BN$2,0,0,ROW()-1,60),ROW()-1,FALSE))</f>
        <v>0</v>
      </c>
      <c r="AK18">
        <f ca="1">IF(AND(ISNUMBER($AK$53),$B$39=1),$AK$53,HLOOKUP(INDIRECT(ADDRESS(2,COLUMN())),OFFSET($BN$2,0,0,ROW()-1,60),ROW()-1,FALSE))</f>
        <v>0</v>
      </c>
      <c r="AL18">
        <f ca="1">IF(AND(ISNUMBER($AL$53),$B$39=1),$AL$53,HLOOKUP(INDIRECT(ADDRESS(2,COLUMN())),OFFSET($BN$2,0,0,ROW()-1,60),ROW()-1,FALSE))</f>
        <v>0</v>
      </c>
      <c r="AM18">
        <f ca="1">IF(AND(ISNUMBER($AM$53),$B$39=1),$AM$53,HLOOKUP(INDIRECT(ADDRESS(2,COLUMN())),OFFSET($BN$2,0,0,ROW()-1,60),ROW()-1,FALSE))</f>
        <v>0</v>
      </c>
      <c r="AN18">
        <f ca="1">IF(AND(ISNUMBER($AN$53),$B$39=1),$AN$53,HLOOKUP(INDIRECT(ADDRESS(2,COLUMN())),OFFSET($BN$2,0,0,ROW()-1,60),ROW()-1,FALSE))</f>
        <v>0</v>
      </c>
      <c r="AO18">
        <f ca="1">IF(AND(ISNUMBER($AO$53),$B$39=1),$AO$53,HLOOKUP(INDIRECT(ADDRESS(2,COLUMN())),OFFSET($BN$2,0,0,ROW()-1,60),ROW()-1,FALSE))</f>
        <v>0</v>
      </c>
      <c r="AP18">
        <f ca="1">IF(AND(ISNUMBER($AP$53),$B$39=1),$AP$53,HLOOKUP(INDIRECT(ADDRESS(2,COLUMN())),OFFSET($BN$2,0,0,ROW()-1,60),ROW()-1,FALSE))</f>
        <v>0</v>
      </c>
      <c r="AQ18">
        <f ca="1">IF(AND(ISNUMBER($AQ$53),$B$39=1),$AQ$53,HLOOKUP(INDIRECT(ADDRESS(2,COLUMN())),OFFSET($BN$2,0,0,ROW()-1,60),ROW()-1,FALSE))</f>
        <v>0</v>
      </c>
      <c r="AR18">
        <f ca="1">IF(AND(ISNUMBER($AR$53),$B$39=1),$AR$53,HLOOKUP(INDIRECT(ADDRESS(2,COLUMN())),OFFSET($BN$2,0,0,ROW()-1,60),ROW()-1,FALSE))</f>
        <v>0</v>
      </c>
      <c r="AS18">
        <f ca="1">IF(AND(ISNUMBER($AS$53),$B$39=1),$AS$53,HLOOKUP(INDIRECT(ADDRESS(2,COLUMN())),OFFSET($BN$2,0,0,ROW()-1,60),ROW()-1,FALSE))</f>
        <v>0</v>
      </c>
      <c r="AT18">
        <f ca="1">IF(AND(ISNUMBER($AT$53),$B$39=1),$AT$53,HLOOKUP(INDIRECT(ADDRESS(2,COLUMN())),OFFSET($BN$2,0,0,ROW()-1,60),ROW()-1,FALSE))</f>
        <v>0</v>
      </c>
      <c r="AU18">
        <f ca="1">IF(AND(ISNUMBER($AU$53),$B$39=1),$AU$53,HLOOKUP(INDIRECT(ADDRESS(2,COLUMN())),OFFSET($BN$2,0,0,ROW()-1,60),ROW()-1,FALSE))</f>
        <v>0</v>
      </c>
      <c r="AV18">
        <f ca="1">IF(AND(ISNUMBER($AV$53),$B$39=1),$AV$53,HLOOKUP(INDIRECT(ADDRESS(2,COLUMN())),OFFSET($BN$2,0,0,ROW()-1,60),ROW()-1,FALSE))</f>
        <v>0</v>
      </c>
      <c r="AW18">
        <f ca="1">IF(AND(ISNUMBER($AW$53),$B$39=1),$AW$53,HLOOKUP(INDIRECT(ADDRESS(2,COLUMN())),OFFSET($BN$2,0,0,ROW()-1,60),ROW()-1,FALSE))</f>
        <v>0</v>
      </c>
      <c r="AX18">
        <f ca="1">IF(AND(ISNUMBER($AX$53),$B$39=1),$AX$53,HLOOKUP(INDIRECT(ADDRESS(2,COLUMN())),OFFSET($BN$2,0,0,ROW()-1,60),ROW()-1,FALSE))</f>
        <v>0</v>
      </c>
      <c r="AY18">
        <f ca="1">IF(AND(ISNUMBER($AY$53),$B$39=1),$AY$53,HLOOKUP(INDIRECT(ADDRESS(2,COLUMN())),OFFSET($BN$2,0,0,ROW()-1,60),ROW()-1,FALSE))</f>
        <v>0</v>
      </c>
      <c r="AZ18">
        <f ca="1">IF(AND(ISNUMBER($AZ$53),$B$39=1),$AZ$53,HLOOKUP(INDIRECT(ADDRESS(2,COLUMN())),OFFSET($BN$2,0,0,ROW()-1,60),ROW()-1,FALSE))</f>
        <v>0</v>
      </c>
      <c r="BA18">
        <f ca="1">IF(AND(ISNUMBER($BA$53),$B$39=1),$BA$53,HLOOKUP(INDIRECT(ADDRESS(2,COLUMN())),OFFSET($BN$2,0,0,ROW()-1,60),ROW()-1,FALSE))</f>
        <v>0</v>
      </c>
      <c r="BB18">
        <f ca="1">IF(AND(ISNUMBER($BB$53),$B$39=1),$BB$53,HLOOKUP(INDIRECT(ADDRESS(2,COLUMN())),OFFSET($BN$2,0,0,ROW()-1,60),ROW()-1,FALSE))</f>
        <v>0</v>
      </c>
      <c r="BC18">
        <f ca="1">IF(AND(ISNUMBER($BC$53),$B$39=1),$BC$53,HLOOKUP(INDIRECT(ADDRESS(2,COLUMN())),OFFSET($BN$2,0,0,ROW()-1,60),ROW()-1,FALSE))</f>
        <v>0</v>
      </c>
      <c r="BD18">
        <f ca="1">IF(AND(ISNUMBER($BD$53),$B$39=1),$BD$53,HLOOKUP(INDIRECT(ADDRESS(2,COLUMN())),OFFSET($BN$2,0,0,ROW()-1,60),ROW()-1,FALSE))</f>
        <v>0</v>
      </c>
      <c r="BE18">
        <f ca="1">IF(AND(ISNUMBER($BE$53),$B$39=1),$BE$53,HLOOKUP(INDIRECT(ADDRESS(2,COLUMN())),OFFSET($BN$2,0,0,ROW()-1,60),ROW()-1,FALSE))</f>
        <v>0</v>
      </c>
      <c r="BF18">
        <f ca="1">IF(AND(ISNUMBER($BF$53),$B$39=1),$BF$53,HLOOKUP(INDIRECT(ADDRESS(2,COLUMN())),OFFSET($BN$2,0,0,ROW()-1,60),ROW()-1,FALSE))</f>
        <v>0</v>
      </c>
      <c r="BG18">
        <f ca="1">IF(AND(ISNUMBER($BG$53),$B$39=1),$BG$53,HLOOKUP(INDIRECT(ADDRESS(2,COLUMN())),OFFSET($BN$2,0,0,ROW()-1,60),ROW()-1,FALSE))</f>
        <v>0</v>
      </c>
      <c r="BH18">
        <f ca="1">IF(AND(ISNUMBER($BH$53),$B$39=1),$BH$53,HLOOKUP(INDIRECT(ADDRESS(2,COLUMN())),OFFSET($BN$2,0,0,ROW()-1,60),ROW()-1,FALSE))</f>
        <v>0</v>
      </c>
      <c r="BI18">
        <f ca="1">IF(AND(ISNUMBER($BI$53),$B$39=1),$BI$53,HLOOKUP(INDIRECT(ADDRESS(2,COLUMN())),OFFSET($BN$2,0,0,ROW()-1,60),ROW()-1,FALSE))</f>
        <v>0</v>
      </c>
      <c r="BJ18">
        <f ca="1">IF(AND(ISNUMBER($BJ$53),$B$39=1),$BJ$53,HLOOKUP(INDIRECT(ADDRESS(2,COLUMN())),OFFSET($BN$2,0,0,ROW()-1,60),ROW()-1,FALSE))</f>
        <v>0</v>
      </c>
      <c r="BK18">
        <f ca="1">IF(AND(ISNUMBER($BK$53),$B$39=1),$BK$53,HLOOKUP(INDIRECT(ADDRESS(2,COLUMN())),OFFSET($BN$2,0,0,ROW()-1,60),ROW()-1,FALSE))</f>
        <v>0</v>
      </c>
      <c r="BL18">
        <f ca="1">IF(AND(ISNUMBER($BL$53),$B$39=1),$BL$53,HLOOKUP(INDIRECT(ADDRESS(2,COLUMN())),OFFSET($BN$2,0,0,ROW()-1,60),ROW()-1,FALSE))</f>
        <v>0</v>
      </c>
      <c r="BM18">
        <f ca="1">IF(AND(ISNUMBER($BM$53),$B$39=1),$BM$53,HLOOKUP(INDIRECT(ADDRESS(2,COLUMN())),OFFSET($BN$2,0,0,ROW()-1,60),ROW()-1,FALSE))</f>
        <v>0</v>
      </c>
      <c r="BN18">
        <f>67.65519355</f>
        <v>67.655193550000007</v>
      </c>
      <c r="BO18">
        <f>96.566</f>
        <v>96.566000000000003</v>
      </c>
      <c r="BP18">
        <f>85.74</f>
        <v>85.74</v>
      </c>
      <c r="BQ18">
        <f>57.502</f>
        <v>57.502000000000002</v>
      </c>
      <c r="BR18">
        <f>57.326</f>
        <v>57.326000000000001</v>
      </c>
      <c r="BS18">
        <f>59.944</f>
        <v>59.944000000000003</v>
      </c>
      <c r="BT18">
        <f>52.24</f>
        <v>52.24</v>
      </c>
      <c r="BU18">
        <f>25.875</f>
        <v>25.875</v>
      </c>
      <c r="BV18">
        <f>53</f>
        <v>53</v>
      </c>
      <c r="BW18">
        <f>35.501</f>
        <v>35.500999999999998</v>
      </c>
      <c r="BX18">
        <f>31.125</f>
        <v>31.125</v>
      </c>
      <c r="BY18">
        <f>30.086</f>
        <v>30.085999999999999</v>
      </c>
      <c r="BZ18">
        <f>29.26</f>
        <v>29.26</v>
      </c>
      <c r="CA18">
        <f>23.461</f>
        <v>23.460999999999999</v>
      </c>
      <c r="CB18">
        <f>21.83</f>
        <v>21.83</v>
      </c>
      <c r="CC18">
        <f>19.371</f>
        <v>19.370999999999999</v>
      </c>
      <c r="CD18">
        <f>6.905</f>
        <v>6.9050000000000002</v>
      </c>
      <c r="CE18">
        <f>1.032</f>
        <v>1.032</v>
      </c>
      <c r="CF18">
        <f>0.45</f>
        <v>0.45</v>
      </c>
      <c r="CG18">
        <f>0</f>
        <v>0</v>
      </c>
      <c r="CH18">
        <f>0</f>
        <v>0</v>
      </c>
      <c r="CI18">
        <f>0</f>
        <v>0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f>0</f>
        <v>0</v>
      </c>
      <c r="CP18">
        <f>0</f>
        <v>0</v>
      </c>
      <c r="CQ18">
        <f>0</f>
        <v>0</v>
      </c>
      <c r="CR18">
        <f>0</f>
        <v>0</v>
      </c>
      <c r="CS18">
        <f>0</f>
        <v>0</v>
      </c>
      <c r="CT18">
        <f>0</f>
        <v>0</v>
      </c>
      <c r="CU18">
        <f>0</f>
        <v>0</v>
      </c>
      <c r="CV18">
        <f>0</f>
        <v>0</v>
      </c>
      <c r="CW18">
        <f>0</f>
        <v>0</v>
      </c>
      <c r="CX18">
        <f>0</f>
        <v>0</v>
      </c>
      <c r="CY18">
        <f>0</f>
        <v>0</v>
      </c>
      <c r="CZ18">
        <f>0</f>
        <v>0</v>
      </c>
      <c r="DA18">
        <f>0</f>
        <v>0</v>
      </c>
      <c r="DB18">
        <f>0</f>
        <v>0</v>
      </c>
      <c r="DC18">
        <f>0</f>
        <v>0</v>
      </c>
      <c r="DD18">
        <f>0</f>
        <v>0</v>
      </c>
      <c r="DE18">
        <f>0</f>
        <v>0</v>
      </c>
      <c r="DF18">
        <f>0</f>
        <v>0</v>
      </c>
      <c r="DG18">
        <f>0</f>
        <v>0</v>
      </c>
      <c r="DH18">
        <f>0</f>
        <v>0</v>
      </c>
      <c r="DI18">
        <f>0</f>
        <v>0</v>
      </c>
      <c r="DJ18">
        <f>0</f>
        <v>0</v>
      </c>
      <c r="DK18">
        <f>0</f>
        <v>0</v>
      </c>
      <c r="DL18">
        <f>0</f>
        <v>0</v>
      </c>
      <c r="DM18">
        <f>0</f>
        <v>0</v>
      </c>
      <c r="DN18">
        <f>0</f>
        <v>0</v>
      </c>
      <c r="DO18">
        <f>0</f>
        <v>0</v>
      </c>
      <c r="DP18">
        <f>0</f>
        <v>0</v>
      </c>
      <c r="DQ18">
        <f>0</f>
        <v>0</v>
      </c>
      <c r="DR18">
        <f>0</f>
        <v>0</v>
      </c>
      <c r="DS18">
        <f>0</f>
        <v>0</v>
      </c>
      <c r="DT18">
        <f>0</f>
        <v>0</v>
      </c>
      <c r="DU18">
        <f>0</f>
        <v>0</v>
      </c>
    </row>
    <row r="19" spans="1:125">
      <c r="A19" t="str">
        <f>"预制房房地产投资信托数据"</f>
        <v>预制房房地产投资信托数据</v>
      </c>
      <c r="B19" t="str">
        <f>""</f>
        <v/>
      </c>
      <c r="E19" t="str">
        <f>"静态"</f>
        <v>静态</v>
      </c>
      <c r="F19" t="str">
        <f t="shared" ref="F19:AK19" ca="1" si="4">HLOOKUP(INDIRECT(ADDRESS(2,COLUMN())),OFFSET($BN$2,0,0,ROW()-1,60),ROW()-1,FALSE)</f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4"/>
        <v/>
      </c>
      <c r="AH19" t="str">
        <f t="shared" ca="1" si="4"/>
        <v/>
      </c>
      <c r="AI19" t="str">
        <f t="shared" ca="1" si="4"/>
        <v/>
      </c>
      <c r="AJ19" t="str">
        <f t="shared" ca="1" si="4"/>
        <v/>
      </c>
      <c r="AK19" t="str">
        <f t="shared" ca="1" si="4"/>
        <v/>
      </c>
      <c r="AL19" t="str">
        <f t="shared" ref="AL19:BM19" ca="1" si="5">HLOOKUP(INDIRECT(ADDRESS(2,COLUMN())),OFFSET($BN$2,0,0,ROW()-1,60),ROW()-1,FALSE)</f>
        <v/>
      </c>
      <c r="AM19" t="str">
        <f t="shared" ca="1" si="5"/>
        <v/>
      </c>
      <c r="AN19" t="str">
        <f t="shared" ca="1" si="5"/>
        <v/>
      </c>
      <c r="AO19" t="str">
        <f t="shared" ca="1" si="5"/>
        <v/>
      </c>
      <c r="AP19" t="str">
        <f t="shared" ca="1" si="5"/>
        <v/>
      </c>
      <c r="AQ19" t="str">
        <f t="shared" ca="1" si="5"/>
        <v/>
      </c>
      <c r="AR19" t="str">
        <f t="shared" ca="1" si="5"/>
        <v/>
      </c>
      <c r="AS19" t="str">
        <f t="shared" ca="1" si="5"/>
        <v/>
      </c>
      <c r="AT19" t="str">
        <f t="shared" ca="1" si="5"/>
        <v/>
      </c>
      <c r="AU19" t="str">
        <f t="shared" ca="1" si="5"/>
        <v/>
      </c>
      <c r="AV19" t="str">
        <f t="shared" ca="1" si="5"/>
        <v/>
      </c>
      <c r="AW19" t="str">
        <f t="shared" ca="1" si="5"/>
        <v/>
      </c>
      <c r="AX19" t="str">
        <f t="shared" ca="1" si="5"/>
        <v/>
      </c>
      <c r="AY19" t="str">
        <f t="shared" ca="1" si="5"/>
        <v/>
      </c>
      <c r="AZ19" t="str">
        <f t="shared" ca="1" si="5"/>
        <v/>
      </c>
      <c r="BA19" t="str">
        <f t="shared" ca="1" si="5"/>
        <v/>
      </c>
      <c r="BB19" t="str">
        <f t="shared" ca="1" si="5"/>
        <v/>
      </c>
      <c r="BC19" t="str">
        <f t="shared" ca="1" si="5"/>
        <v/>
      </c>
      <c r="BD19" t="str">
        <f t="shared" ca="1" si="5"/>
        <v/>
      </c>
      <c r="BE19" t="str">
        <f t="shared" ca="1" si="5"/>
        <v/>
      </c>
      <c r="BF19" t="str">
        <f t="shared" ca="1" si="5"/>
        <v/>
      </c>
      <c r="BG19" t="str">
        <f t="shared" ca="1" si="5"/>
        <v/>
      </c>
      <c r="BH19" t="str">
        <f t="shared" ca="1" si="5"/>
        <v/>
      </c>
      <c r="BI19" t="str">
        <f t="shared" ca="1" si="5"/>
        <v/>
      </c>
      <c r="BJ19" t="str">
        <f t="shared" ca="1" si="5"/>
        <v/>
      </c>
      <c r="BK19" t="str">
        <f t="shared" ca="1" si="5"/>
        <v/>
      </c>
      <c r="BL19" t="str">
        <f t="shared" ca="1" si="5"/>
        <v/>
      </c>
      <c r="BM19" t="str">
        <f t="shared" ca="1" si="5"/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>"    预制房房地产投资信托总营运现金流"</f>
        <v xml:space="preserve">    预制房房地产投资信托总营运现金流</v>
      </c>
      <c r="B20" t="str">
        <f>"RECFFOMH Index"</f>
        <v>RECFFOMH Index</v>
      </c>
      <c r="C20" t="str">
        <f>"PR005"</f>
        <v>PR005</v>
      </c>
      <c r="D20" t="str">
        <f>"PX_LAST"</f>
        <v>PX_LAST</v>
      </c>
      <c r="E20" t="str">
        <f>"动态"</f>
        <v>动态</v>
      </c>
      <c r="F20">
        <f ca="1">IF(AND(ISNUMBER($F$54),$B$39=1),$F$54,HLOOKUP(INDIRECT(ADDRESS(2,COLUMN())),OFFSET($BN$2,0,0,ROW()-1,60),ROW()-1,FALSE))</f>
        <v>157.8772213</v>
      </c>
      <c r="G20">
        <f ca="1">IF(AND(ISNUMBER($G$54),$B$39=1),$G$54,HLOOKUP(INDIRECT(ADDRESS(2,COLUMN())),OFFSET($BN$2,0,0,ROW()-1,60),ROW()-1,FALSE))</f>
        <v>173.03299999999999</v>
      </c>
      <c r="H20">
        <f ca="1">IF(AND(ISNUMBER($H$54),$B$39=1),$H$54,HLOOKUP(INDIRECT(ADDRESS(2,COLUMN())),OFFSET($BN$2,0,0,ROW()-1,60),ROW()-1,FALSE))</f>
        <v>154.654</v>
      </c>
      <c r="I20">
        <f ca="1">IF(AND(ISNUMBER($I$54),$B$39=1),$I$54,HLOOKUP(INDIRECT(ADDRESS(2,COLUMN())),OFFSET($BN$2,0,0,ROW()-1,60),ROW()-1,FALSE))</f>
        <v>181.50800000000001</v>
      </c>
      <c r="J20">
        <f ca="1">IF(AND(ISNUMBER($J$54),$B$39=1),$J$54,HLOOKUP(INDIRECT(ADDRESS(2,COLUMN())),OFFSET($BN$2,0,0,ROW()-1,60),ROW()-1,FALSE))</f>
        <v>135.72</v>
      </c>
      <c r="K20">
        <f ca="1">IF(AND(ISNUMBER($K$54),$B$39=1),$K$54,HLOOKUP(INDIRECT(ADDRESS(2,COLUMN())),OFFSET($BN$2,0,0,ROW()-1,60),ROW()-1,FALSE))</f>
        <v>160.17599999999999</v>
      </c>
      <c r="L20">
        <f ca="1">IF(AND(ISNUMBER($L$54),$B$39=1),$L$54,HLOOKUP(INDIRECT(ADDRESS(2,COLUMN())),OFFSET($BN$2,0,0,ROW()-1,60),ROW()-1,FALSE))</f>
        <v>111.446</v>
      </c>
      <c r="M20">
        <f ca="1">IF(AND(ISNUMBER($M$54),$B$39=1),$M$54,HLOOKUP(INDIRECT(ADDRESS(2,COLUMN())),OFFSET($BN$2,0,0,ROW()-1,60),ROW()-1,FALSE))</f>
        <v>142.46899999999999</v>
      </c>
      <c r="N20">
        <f ca="1">IF(AND(ISNUMBER($N$54),$B$39=1),$N$54,HLOOKUP(INDIRECT(ADDRESS(2,COLUMN())),OFFSET($BN$2,0,0,ROW()-1,60),ROW()-1,FALSE))</f>
        <v>113.389</v>
      </c>
      <c r="O20">
        <f ca="1">IF(AND(ISNUMBER($O$54),$B$39=1),$O$54,HLOOKUP(INDIRECT(ADDRESS(2,COLUMN())),OFFSET($BN$2,0,0,ROW()-1,60),ROW()-1,FALSE))</f>
        <v>129.77699999999999</v>
      </c>
      <c r="P20">
        <f ca="1">IF(AND(ISNUMBER($P$54),$B$39=1),$P$54,HLOOKUP(INDIRECT(ADDRESS(2,COLUMN())),OFFSET($BN$2,0,0,ROW()-1,60),ROW()-1,FALSE))</f>
        <v>121.985</v>
      </c>
      <c r="Q20">
        <f ca="1">IF(AND(ISNUMBER($Q$54),$B$39=1),$Q$54,HLOOKUP(INDIRECT(ADDRESS(2,COLUMN())),OFFSET($BN$2,0,0,ROW()-1,60),ROW()-1,FALSE))</f>
        <v>101.101</v>
      </c>
      <c r="R20">
        <f ca="1">IF(AND(ISNUMBER($R$54),$B$39=1),$R$54,HLOOKUP(INDIRECT(ADDRESS(2,COLUMN())),OFFSET($BN$2,0,0,ROW()-1,60),ROW()-1,FALSE))</f>
        <v>89.74</v>
      </c>
      <c r="S20">
        <f ca="1">IF(AND(ISNUMBER($S$54),$B$39=1),$S$54,HLOOKUP(INDIRECT(ADDRESS(2,COLUMN())),OFFSET($BN$2,0,0,ROW()-1,60),ROW()-1,FALSE))</f>
        <v>99.802000000000007</v>
      </c>
      <c r="T20">
        <f ca="1">IF(AND(ISNUMBER($T$54),$B$39=1),$T$54,HLOOKUP(INDIRECT(ADDRESS(2,COLUMN())),OFFSET($BN$2,0,0,ROW()-1,60),ROW()-1,FALSE))</f>
        <v>94.352999999999994</v>
      </c>
      <c r="U20">
        <f ca="1">IF(AND(ISNUMBER($U$54),$B$39=1),$U$54,HLOOKUP(INDIRECT(ADDRESS(2,COLUMN())),OFFSET($BN$2,0,0,ROW()-1,60),ROW()-1,FALSE))</f>
        <v>110.996</v>
      </c>
      <c r="V20">
        <f ca="1">IF(AND(ISNUMBER($V$54),$B$39=1),$V$54,HLOOKUP(INDIRECT(ADDRESS(2,COLUMN())),OFFSET($BN$2,0,0,ROW()-1,60),ROW()-1,FALSE))</f>
        <v>84.983000000000004</v>
      </c>
      <c r="W20">
        <f ca="1">IF(AND(ISNUMBER($W$54),$B$39=1),$W$54,HLOOKUP(INDIRECT(ADDRESS(2,COLUMN())),OFFSET($BN$2,0,0,ROW()-1,60),ROW()-1,FALSE))</f>
        <v>53.77</v>
      </c>
      <c r="X20">
        <f ca="1">IF(AND(ISNUMBER($X$54),$B$39=1),$X$54,HLOOKUP(INDIRECT(ADDRESS(2,COLUMN())),OFFSET($BN$2,0,0,ROW()-1,60),ROW()-1,FALSE))</f>
        <v>79.518000000000001</v>
      </c>
      <c r="Y20">
        <f ca="1">IF(AND(ISNUMBER($Y$54),$B$39=1),$Y$54,HLOOKUP(INDIRECT(ADDRESS(2,COLUMN())),OFFSET($BN$2,0,0,ROW()-1,60),ROW()-1,FALSE))</f>
        <v>100.34</v>
      </c>
      <c r="Z20">
        <f ca="1">IF(AND(ISNUMBER($Z$54),$B$39=1),$Z$54,HLOOKUP(INDIRECT(ADDRESS(2,COLUMN())),OFFSET($BN$2,0,0,ROW()-1,60),ROW()-1,FALSE))</f>
        <v>75.209000000000003</v>
      </c>
      <c r="AA20">
        <f ca="1">IF(AND(ISNUMBER($AA$54),$B$39=1),$AA$54,HLOOKUP(INDIRECT(ADDRESS(2,COLUMN())),OFFSET($BN$2,0,0,ROW()-1,60),ROW()-1,FALSE))</f>
        <v>75.92</v>
      </c>
      <c r="AB20">
        <f ca="1">IF(AND(ISNUMBER($AB$54),$B$39=1),$AB$54,HLOOKUP(INDIRECT(ADDRESS(2,COLUMN())),OFFSET($BN$2,0,0,ROW()-1,60),ROW()-1,FALSE))</f>
        <v>73.307000000000002</v>
      </c>
      <c r="AC20">
        <f ca="1">IF(AND(ISNUMBER($AC$54),$B$39=1),$AC$54,HLOOKUP(INDIRECT(ADDRESS(2,COLUMN())),OFFSET($BN$2,0,0,ROW()-1,60),ROW()-1,FALSE))</f>
        <v>87.114000000000004</v>
      </c>
      <c r="AD20">
        <f ca="1">IF(AND(ISNUMBER($AD$54),$B$39=1),$AD$54,HLOOKUP(INDIRECT(ADDRESS(2,COLUMN())),OFFSET($BN$2,0,0,ROW()-1,60),ROW()-1,FALSE))</f>
        <v>65.879000000000005</v>
      </c>
      <c r="AE20">
        <f ca="1">IF(AND(ISNUMBER($AE$54),$B$39=1),$AE$54,HLOOKUP(INDIRECT(ADDRESS(2,COLUMN())),OFFSET($BN$2,0,0,ROW()-1,60),ROW()-1,FALSE))</f>
        <v>53.164000000000001</v>
      </c>
      <c r="AF20">
        <f ca="1">IF(AND(ISNUMBER($AF$54),$B$39=1),$AF$54,HLOOKUP(INDIRECT(ADDRESS(2,COLUMN())),OFFSET($BN$2,0,0,ROW()-1,60),ROW()-1,FALSE))</f>
        <v>45.902999999999999</v>
      </c>
      <c r="AG20">
        <f ca="1">IF(AND(ISNUMBER($AG$54),$B$39=1),$AG$54,HLOOKUP(INDIRECT(ADDRESS(2,COLUMN())),OFFSET($BN$2,0,0,ROW()-1,60),ROW()-1,FALSE))</f>
        <v>63.768999999999998</v>
      </c>
      <c r="AH20">
        <f ca="1">IF(AND(ISNUMBER($AH$54),$B$39=1),$AH$54,HLOOKUP(INDIRECT(ADDRESS(2,COLUMN())),OFFSET($BN$2,0,0,ROW()-1,60),ROW()-1,FALSE))</f>
        <v>47.328000000000003</v>
      </c>
      <c r="AI20">
        <f ca="1">IF(AND(ISNUMBER($AI$54),$B$39=1),$AI$54,HLOOKUP(INDIRECT(ADDRESS(2,COLUMN())),OFFSET($BN$2,0,0,ROW()-1,60),ROW()-1,FALSE))</f>
        <v>50.578000000000003</v>
      </c>
      <c r="AJ20">
        <f ca="1">IF(AND(ISNUMBER($AJ$54),$B$39=1),$AJ$54,HLOOKUP(INDIRECT(ADDRESS(2,COLUMN())),OFFSET($BN$2,0,0,ROW()-1,60),ROW()-1,FALSE))</f>
        <v>43.406999999999996</v>
      </c>
      <c r="AK20">
        <f ca="1">IF(AND(ISNUMBER($AK$54),$B$39=1),$AK$54,HLOOKUP(INDIRECT(ADDRESS(2,COLUMN())),OFFSET($BN$2,0,0,ROW()-1,60),ROW()-1,FALSE))</f>
        <v>58.634999999999998</v>
      </c>
      <c r="AL20">
        <f ca="1">IF(AND(ISNUMBER($AL$54),$B$39=1),$AL$54,HLOOKUP(INDIRECT(ADDRESS(2,COLUMN())),OFFSET($BN$2,0,0,ROW()-1,60),ROW()-1,FALSE))</f>
        <v>48.116</v>
      </c>
      <c r="AM20">
        <f ca="1">IF(AND(ISNUMBER($AM$54),$B$39=1),$AM$54,HLOOKUP(INDIRECT(ADDRESS(2,COLUMN())),OFFSET($BN$2,0,0,ROW()-1,60),ROW()-1,FALSE))</f>
        <v>43.652999999999999</v>
      </c>
      <c r="AN20">
        <f ca="1">IF(AND(ISNUMBER($AN$54),$B$39=1),$AN$54,HLOOKUP(INDIRECT(ADDRESS(2,COLUMN())),OFFSET($BN$2,0,0,ROW()-1,60),ROW()-1,FALSE))</f>
        <v>38.427</v>
      </c>
      <c r="AO20">
        <f ca="1">IF(AND(ISNUMBER($AO$54),$B$39=1),$AO$54,HLOOKUP(INDIRECT(ADDRESS(2,COLUMN())),OFFSET($BN$2,0,0,ROW()-1,60),ROW()-1,FALSE))</f>
        <v>54.058</v>
      </c>
      <c r="AP20">
        <f ca="1">IF(AND(ISNUMBER($AP$54),$B$39=1),$AP$54,HLOOKUP(INDIRECT(ADDRESS(2,COLUMN())),OFFSET($BN$2,0,0,ROW()-1,60),ROW()-1,FALSE))</f>
        <v>21.315999999999999</v>
      </c>
      <c r="AQ20">
        <f ca="1">IF(AND(ISNUMBER($AQ$54),$B$39=1),$AQ$54,HLOOKUP(INDIRECT(ADDRESS(2,COLUMN())),OFFSET($BN$2,0,0,ROW()-1,60),ROW()-1,FALSE))</f>
        <v>38.725999999999999</v>
      </c>
      <c r="AR20">
        <f ca="1">IF(AND(ISNUMBER($AR$54),$B$39=1),$AR$54,HLOOKUP(INDIRECT(ADDRESS(2,COLUMN())),OFFSET($BN$2,0,0,ROW()-1,60),ROW()-1,FALSE))</f>
        <v>31.242000000000001</v>
      </c>
      <c r="AS20">
        <f ca="1">IF(AND(ISNUMBER($AS$54),$B$39=1),$AS$54,HLOOKUP(INDIRECT(ADDRESS(2,COLUMN())),OFFSET($BN$2,0,0,ROW()-1,60),ROW()-1,FALSE))</f>
        <v>44.633000000000003</v>
      </c>
      <c r="AT20">
        <f ca="1">IF(AND(ISNUMBER($AT$54),$B$39=1),$AT$54,HLOOKUP(INDIRECT(ADDRESS(2,COLUMN())),OFFSET($BN$2,0,0,ROW()-1,60),ROW()-1,FALSE))</f>
        <v>29.071000000000002</v>
      </c>
      <c r="AU20">
        <f ca="1">IF(AND(ISNUMBER($AU$54),$B$39=1),$AU$54,HLOOKUP(INDIRECT(ADDRESS(2,COLUMN())),OFFSET($BN$2,0,0,ROW()-1,60),ROW()-1,FALSE))</f>
        <v>36.81</v>
      </c>
      <c r="AV20">
        <f ca="1">IF(AND(ISNUMBER($AV$54),$B$39=1),$AV$54,HLOOKUP(INDIRECT(ADDRESS(2,COLUMN())),OFFSET($BN$2,0,0,ROW()-1,60),ROW()-1,FALSE))</f>
        <v>37.576000000000001</v>
      </c>
      <c r="AW20">
        <f ca="1">IF(AND(ISNUMBER($AW$54),$B$39=1),$AW$54,HLOOKUP(INDIRECT(ADDRESS(2,COLUMN())),OFFSET($BN$2,0,0,ROW()-1,60),ROW()-1,FALSE))</f>
        <v>51.832000000000001</v>
      </c>
      <c r="AX20">
        <f ca="1">IF(AND(ISNUMBER($AX$54),$B$39=1),$AX$54,HLOOKUP(INDIRECT(ADDRESS(2,COLUMN())),OFFSET($BN$2,0,0,ROW()-1,60),ROW()-1,FALSE))</f>
        <v>20.219000000000001</v>
      </c>
      <c r="AY20">
        <f ca="1">IF(AND(ISNUMBER($AY$54),$B$39=1),$AY$54,HLOOKUP(INDIRECT(ADDRESS(2,COLUMN())),OFFSET($BN$2,0,0,ROW()-1,60),ROW()-1,FALSE))</f>
        <v>36.993000000000002</v>
      </c>
      <c r="AZ20">
        <f ca="1">IF(AND(ISNUMBER($AZ$54),$B$39=1),$AZ$54,HLOOKUP(INDIRECT(ADDRESS(2,COLUMN())),OFFSET($BN$2,0,0,ROW()-1,60),ROW()-1,FALSE))</f>
        <v>35.628999999999998</v>
      </c>
      <c r="BA20">
        <f ca="1">IF(AND(ISNUMBER($BA$54),$B$39=1),$BA$54,HLOOKUP(INDIRECT(ADDRESS(2,COLUMN())),OFFSET($BN$2,0,0,ROW()-1,60),ROW()-1,FALSE))</f>
        <v>49.831000000000003</v>
      </c>
      <c r="BB20">
        <f ca="1">IF(AND(ISNUMBER($BB$54),$B$39=1),$BB$54,HLOOKUP(INDIRECT(ADDRESS(2,COLUMN())),OFFSET($BN$2,0,0,ROW()-1,60),ROW()-1,FALSE))</f>
        <v>4.915</v>
      </c>
      <c r="BC20">
        <f ca="1">IF(AND(ISNUMBER($BC$54),$B$39=1),$BC$54,HLOOKUP(INDIRECT(ADDRESS(2,COLUMN())),OFFSET($BN$2,0,0,ROW()-1,60),ROW()-1,FALSE))</f>
        <v>-71.537000000000006</v>
      </c>
      <c r="BD20">
        <f ca="1">IF(AND(ISNUMBER($BD$54),$B$39=1),$BD$54,HLOOKUP(INDIRECT(ADDRESS(2,COLUMN())),OFFSET($BN$2,0,0,ROW()-1,60),ROW()-1,FALSE))</f>
        <v>38.436999999999998</v>
      </c>
      <c r="BE20">
        <f ca="1">IF(AND(ISNUMBER($BE$54),$B$39=1),$BE$54,HLOOKUP(INDIRECT(ADDRESS(2,COLUMN())),OFFSET($BN$2,0,0,ROW()-1,60),ROW()-1,FALSE))</f>
        <v>51.564999999999998</v>
      </c>
      <c r="BF20">
        <f ca="1">IF(AND(ISNUMBER($BF$54),$B$39=1),$BF$54,HLOOKUP(INDIRECT(ADDRESS(2,COLUMN())),OFFSET($BN$2,0,0,ROW()-1,60),ROW()-1,FALSE))</f>
        <v>19.378499999999999</v>
      </c>
      <c r="BG20">
        <f ca="1">IF(AND(ISNUMBER($BG$54),$B$39=1),$BG$54,HLOOKUP(INDIRECT(ADDRESS(2,COLUMN())),OFFSET($BN$2,0,0,ROW()-1,60),ROW()-1,FALSE))</f>
        <v>33.656999999999996</v>
      </c>
      <c r="BH20">
        <f ca="1">IF(AND(ISNUMBER($BH$54),$B$39=1),$BH$54,HLOOKUP(INDIRECT(ADDRESS(2,COLUMN())),OFFSET($BN$2,0,0,ROW()-1,60),ROW()-1,FALSE))</f>
        <v>-11.18</v>
      </c>
      <c r="BI20">
        <f ca="1">IF(AND(ISNUMBER($BI$54),$B$39=1),$BI$54,HLOOKUP(INDIRECT(ADDRESS(2,COLUMN())),OFFSET($BN$2,0,0,ROW()-1,60),ROW()-1,FALSE))</f>
        <v>19.422999999999998</v>
      </c>
      <c r="BJ20">
        <f ca="1">IF(AND(ISNUMBER($BJ$54),$B$39=1),$BJ$54,HLOOKUP(INDIRECT(ADDRESS(2,COLUMN())),OFFSET($BN$2,0,0,ROW()-1,60),ROW()-1,FALSE))</f>
        <v>34.231499999999997</v>
      </c>
      <c r="BK20">
        <f ca="1">IF(AND(ISNUMBER($BK$54),$B$39=1),$BK$54,HLOOKUP(INDIRECT(ADDRESS(2,COLUMN())),OFFSET($BN$2,0,0,ROW()-1,60),ROW()-1,FALSE))</f>
        <v>39.444000000000003</v>
      </c>
      <c r="BL20">
        <f ca="1">IF(AND(ISNUMBER($BL$54),$B$39=1),$BL$54,HLOOKUP(INDIRECT(ADDRESS(2,COLUMN())),OFFSET($BN$2,0,0,ROW()-1,60),ROW()-1,FALSE))</f>
        <v>61.097000000000001</v>
      </c>
      <c r="BM20">
        <f ca="1">IF(AND(ISNUMBER($BM$54),$B$39=1),$BM$54,HLOOKUP(INDIRECT(ADDRESS(2,COLUMN())),OFFSET($BN$2,0,0,ROW()-1,60),ROW()-1,FALSE))</f>
        <v>64.158000000000001</v>
      </c>
      <c r="BN20">
        <f>157.8772213</f>
        <v>157.8772213</v>
      </c>
      <c r="BO20">
        <f>173.033</f>
        <v>173.03299999999999</v>
      </c>
      <c r="BP20">
        <f>154.654</f>
        <v>154.654</v>
      </c>
      <c r="BQ20">
        <f>181.508</f>
        <v>181.50800000000001</v>
      </c>
      <c r="BR20">
        <f>135.72</f>
        <v>135.72</v>
      </c>
      <c r="BS20">
        <f>160.176</f>
        <v>160.17599999999999</v>
      </c>
      <c r="BT20">
        <f>111.446</f>
        <v>111.446</v>
      </c>
      <c r="BU20">
        <f>142.469</f>
        <v>142.46899999999999</v>
      </c>
      <c r="BV20">
        <f>113.389</f>
        <v>113.389</v>
      </c>
      <c r="BW20">
        <f>129.777</f>
        <v>129.77699999999999</v>
      </c>
      <c r="BX20">
        <f>121.985</f>
        <v>121.985</v>
      </c>
      <c r="BY20">
        <f>101.101</f>
        <v>101.101</v>
      </c>
      <c r="BZ20">
        <f>89.74</f>
        <v>89.74</v>
      </c>
      <c r="CA20">
        <f>99.802</f>
        <v>99.802000000000007</v>
      </c>
      <c r="CB20">
        <f>94.353</f>
        <v>94.352999999999994</v>
      </c>
      <c r="CC20">
        <f>110.996</f>
        <v>110.996</v>
      </c>
      <c r="CD20">
        <f>84.983</f>
        <v>84.983000000000004</v>
      </c>
      <c r="CE20">
        <f>53.77</f>
        <v>53.77</v>
      </c>
      <c r="CF20">
        <f>79.518</f>
        <v>79.518000000000001</v>
      </c>
      <c r="CG20">
        <f>100.34</f>
        <v>100.34</v>
      </c>
      <c r="CH20">
        <f>75.209</f>
        <v>75.209000000000003</v>
      </c>
      <c r="CI20">
        <f>75.92</f>
        <v>75.92</v>
      </c>
      <c r="CJ20">
        <f>73.307</f>
        <v>73.307000000000002</v>
      </c>
      <c r="CK20">
        <f>87.114</f>
        <v>87.114000000000004</v>
      </c>
      <c r="CL20">
        <f>65.879</f>
        <v>65.879000000000005</v>
      </c>
      <c r="CM20">
        <f>53.164</f>
        <v>53.164000000000001</v>
      </c>
      <c r="CN20">
        <f>45.903</f>
        <v>45.902999999999999</v>
      </c>
      <c r="CO20">
        <f>63.769</f>
        <v>63.768999999999998</v>
      </c>
      <c r="CP20">
        <f>47.328</f>
        <v>47.328000000000003</v>
      </c>
      <c r="CQ20">
        <f>50.578</f>
        <v>50.578000000000003</v>
      </c>
      <c r="CR20">
        <f>43.407</f>
        <v>43.406999999999996</v>
      </c>
      <c r="CS20">
        <f>58.635</f>
        <v>58.634999999999998</v>
      </c>
      <c r="CT20">
        <f>48.116</f>
        <v>48.116</v>
      </c>
      <c r="CU20">
        <f>43.653</f>
        <v>43.652999999999999</v>
      </c>
      <c r="CV20">
        <f>38.427</f>
        <v>38.427</v>
      </c>
      <c r="CW20">
        <f>54.058</f>
        <v>54.058</v>
      </c>
      <c r="CX20">
        <f>21.316</f>
        <v>21.315999999999999</v>
      </c>
      <c r="CY20">
        <f>38.726</f>
        <v>38.725999999999999</v>
      </c>
      <c r="CZ20">
        <f>31.242</f>
        <v>31.242000000000001</v>
      </c>
      <c r="DA20">
        <f>44.633</f>
        <v>44.633000000000003</v>
      </c>
      <c r="DB20">
        <f>29.071</f>
        <v>29.071000000000002</v>
      </c>
      <c r="DC20">
        <f>36.81</f>
        <v>36.81</v>
      </c>
      <c r="DD20">
        <f>37.576</f>
        <v>37.576000000000001</v>
      </c>
      <c r="DE20">
        <f>51.832</f>
        <v>51.832000000000001</v>
      </c>
      <c r="DF20">
        <f>20.219</f>
        <v>20.219000000000001</v>
      </c>
      <c r="DG20">
        <f>36.993</f>
        <v>36.993000000000002</v>
      </c>
      <c r="DH20">
        <f>35.629</f>
        <v>35.628999999999998</v>
      </c>
      <c r="DI20">
        <f>49.831</f>
        <v>49.831000000000003</v>
      </c>
      <c r="DJ20">
        <f>4.915</f>
        <v>4.915</v>
      </c>
      <c r="DK20">
        <f>-71.537</f>
        <v>-71.537000000000006</v>
      </c>
      <c r="DL20">
        <f>38.437</f>
        <v>38.436999999999998</v>
      </c>
      <c r="DM20">
        <f>51.565</f>
        <v>51.564999999999998</v>
      </c>
      <c r="DN20">
        <f>19.3785</f>
        <v>19.378499999999999</v>
      </c>
      <c r="DO20">
        <f>33.657</f>
        <v>33.656999999999996</v>
      </c>
      <c r="DP20">
        <f>-11.18</f>
        <v>-11.18</v>
      </c>
      <c r="DQ20">
        <f>19.423</f>
        <v>19.422999999999998</v>
      </c>
      <c r="DR20">
        <f>34.2315</f>
        <v>34.231499999999997</v>
      </c>
      <c r="DS20">
        <f>39.444</f>
        <v>39.444000000000003</v>
      </c>
      <c r="DT20">
        <f>61.097</f>
        <v>61.097000000000001</v>
      </c>
      <c r="DU20">
        <f>64.158</f>
        <v>64.158000000000001</v>
      </c>
    </row>
    <row r="21" spans="1:125">
      <c r="A21" t="str">
        <f>"    预制房房地产投资信托净营业利润"</f>
        <v xml:space="preserve">    预制房房地产投资信托净营业利润</v>
      </c>
      <c r="B21" t="str">
        <f>"RECFNOMH Index"</f>
        <v>RECFNOMH Index</v>
      </c>
      <c r="C21" t="str">
        <f>"PR005"</f>
        <v>PR005</v>
      </c>
      <c r="D21" t="str">
        <f>"PX_LAST"</f>
        <v>PX_LAST</v>
      </c>
      <c r="E21" t="str">
        <f>"动态"</f>
        <v>动态</v>
      </c>
      <c r="F21">
        <f ca="1">IF(AND(ISNUMBER($F$55),$B$39=1),$F$55,HLOOKUP(INDIRECT(ADDRESS(2,COLUMN())),OFFSET($BN$2,0,0,ROW()-1,60),ROW()-1,FALSE))</f>
        <v>258.4562401</v>
      </c>
      <c r="G21">
        <f ca="1">IF(AND(ISNUMBER($G$55),$B$39=1),$G$55,HLOOKUP(INDIRECT(ADDRESS(2,COLUMN())),OFFSET($BN$2,0,0,ROW()-1,60),ROW()-1,FALSE))</f>
        <v>267.2</v>
      </c>
      <c r="H21">
        <f ca="1">IF(AND(ISNUMBER($H$55),$B$39=1),$H$55,HLOOKUP(INDIRECT(ADDRESS(2,COLUMN())),OFFSET($BN$2,0,0,ROW()-1,60),ROW()-1,FALSE))</f>
        <v>248.06899999999999</v>
      </c>
      <c r="I21">
        <f ca="1">IF(AND(ISNUMBER($I$55),$B$39=1),$I$55,HLOOKUP(INDIRECT(ADDRESS(2,COLUMN())),OFFSET($BN$2,0,0,ROW()-1,60),ROW()-1,FALSE))</f>
        <v>272.077</v>
      </c>
      <c r="J21">
        <f ca="1">IF(AND(ISNUMBER($J$55),$B$39=1),$J$55,HLOOKUP(INDIRECT(ADDRESS(2,COLUMN())),OFFSET($BN$2,0,0,ROW()-1,60),ROW()-1,FALSE))</f>
        <v>239.17</v>
      </c>
      <c r="K21">
        <f ca="1">IF(AND(ISNUMBER($K$55),$B$39=1),$K$55,HLOOKUP(INDIRECT(ADDRESS(2,COLUMN())),OFFSET($BN$2,0,0,ROW()-1,60),ROW()-1,FALSE))</f>
        <v>248.583</v>
      </c>
      <c r="L21">
        <f ca="1">IF(AND(ISNUMBER($L$55),$B$39=1),$L$55,HLOOKUP(INDIRECT(ADDRESS(2,COLUMN())),OFFSET($BN$2,0,0,ROW()-1,60),ROW()-1,FALSE))</f>
        <v>218.28200000000001</v>
      </c>
      <c r="M21">
        <f ca="1">IF(AND(ISNUMBER($M$55),$B$39=1),$M$55,HLOOKUP(INDIRECT(ADDRESS(2,COLUMN())),OFFSET($BN$2,0,0,ROW()-1,60),ROW()-1,FALSE))</f>
        <v>227.29599999999999</v>
      </c>
      <c r="N21">
        <f ca="1">IF(AND(ISNUMBER($N$55),$B$39=1),$N$55,HLOOKUP(INDIRECT(ADDRESS(2,COLUMN())),OFFSET($BN$2,0,0,ROW()-1,60),ROW()-1,FALSE))</f>
        <v>202.667</v>
      </c>
      <c r="O21">
        <f ca="1">IF(AND(ISNUMBER($O$55),$B$39=1),$O$55,HLOOKUP(INDIRECT(ADDRESS(2,COLUMN())),OFFSET($BN$2,0,0,ROW()-1,60),ROW()-1,FALSE))</f>
        <v>210.02</v>
      </c>
      <c r="P21">
        <f ca="1">IF(AND(ISNUMBER($P$55),$B$39=1),$P$55,HLOOKUP(INDIRECT(ADDRESS(2,COLUMN())),OFFSET($BN$2,0,0,ROW()-1,60),ROW()-1,FALSE))</f>
        <v>197.48099999999999</v>
      </c>
      <c r="Q21">
        <f ca="1">IF(AND(ISNUMBER($Q$55),$B$39=1),$Q$55,HLOOKUP(INDIRECT(ADDRESS(2,COLUMN())),OFFSET($BN$2,0,0,ROW()-1,60),ROW()-1,FALSE))</f>
        <v>208.48500000000001</v>
      </c>
      <c r="R21">
        <f ca="1">IF(AND(ISNUMBER($R$55),$B$39=1),$R$55,HLOOKUP(INDIRECT(ADDRESS(2,COLUMN())),OFFSET($BN$2,0,0,ROW()-1,60),ROW()-1,FALSE))</f>
        <v>169.608</v>
      </c>
      <c r="S21">
        <f ca="1">IF(AND(ISNUMBER($S$55),$B$39=1),$S$55,HLOOKUP(INDIRECT(ADDRESS(2,COLUMN())),OFFSET($BN$2,0,0,ROW()-1,60),ROW()-1,FALSE))</f>
        <v>169.17599999999999</v>
      </c>
      <c r="T21">
        <f ca="1">IF(AND(ISNUMBER($T$55),$B$39=1),$T$55,HLOOKUP(INDIRECT(ADDRESS(2,COLUMN())),OFFSET($BN$2,0,0,ROW()-1,60),ROW()-1,FALSE))</f>
        <v>160.29</v>
      </c>
      <c r="U21">
        <f ca="1">IF(AND(ISNUMBER($U$55),$B$39=1),$U$55,HLOOKUP(INDIRECT(ADDRESS(2,COLUMN())),OFFSET($BN$2,0,0,ROW()-1,60),ROW()-1,FALSE))</f>
        <v>171.58</v>
      </c>
      <c r="V21">
        <f ca="1">IF(AND(ISNUMBER($V$55),$B$39=1),$V$55,HLOOKUP(INDIRECT(ADDRESS(2,COLUMN())),OFFSET($BN$2,0,0,ROW()-1,60),ROW()-1,FALSE))</f>
        <v>152.06800000000001</v>
      </c>
      <c r="W21">
        <f ca="1">IF(AND(ISNUMBER($W$55),$B$39=1),$W$55,HLOOKUP(INDIRECT(ADDRESS(2,COLUMN())),OFFSET($BN$2,0,0,ROW()-1,60),ROW()-1,FALSE))</f>
        <v>152.99</v>
      </c>
      <c r="X21">
        <f ca="1">IF(AND(ISNUMBER($X$55),$B$39=1),$X$55,HLOOKUP(INDIRECT(ADDRESS(2,COLUMN())),OFFSET($BN$2,0,0,ROW()-1,60),ROW()-1,FALSE))</f>
        <v>145.881</v>
      </c>
      <c r="Y21">
        <f ca="1">IF(AND(ISNUMBER($Y$55),$B$39=1),$Y$55,HLOOKUP(INDIRECT(ADDRESS(2,COLUMN())),OFFSET($BN$2,0,0,ROW()-1,60),ROW()-1,FALSE))</f>
        <v>163.36799999999999</v>
      </c>
      <c r="Z21">
        <f ca="1">IF(AND(ISNUMBER($Z$55),$B$39=1),$Z$55,HLOOKUP(INDIRECT(ADDRESS(2,COLUMN())),OFFSET($BN$2,0,0,ROW()-1,60),ROW()-1,FALSE))</f>
        <v>141.18899999999999</v>
      </c>
      <c r="AA21">
        <f ca="1">IF(AND(ISNUMBER($AA$55),$B$39=1),$AA$55,HLOOKUP(INDIRECT(ADDRESS(2,COLUMN())),OFFSET($BN$2,0,0,ROW()-1,60),ROW()-1,FALSE))</f>
        <v>136.76900000000001</v>
      </c>
      <c r="AB21">
        <f ca="1">IF(AND(ISNUMBER($AB$55),$B$39=1),$AB$55,HLOOKUP(INDIRECT(ADDRESS(2,COLUMN())),OFFSET($BN$2,0,0,ROW()-1,60),ROW()-1,FALSE))</f>
        <v>132.44300000000001</v>
      </c>
      <c r="AC21">
        <f ca="1">IF(AND(ISNUMBER($AC$55),$B$39=1),$AC$55,HLOOKUP(INDIRECT(ADDRESS(2,COLUMN())),OFFSET($BN$2,0,0,ROW()-1,60),ROW()-1,FALSE))</f>
        <v>146.30199999999999</v>
      </c>
      <c r="AD21">
        <f ca="1">IF(AND(ISNUMBER($AD$55),$B$39=1),$AD$55,HLOOKUP(INDIRECT(ADDRESS(2,COLUMN())),OFFSET($BN$2,0,0,ROW()-1,60),ROW()-1,FALSE))</f>
        <v>127.28100000000001</v>
      </c>
      <c r="AE21">
        <f ca="1">IF(AND(ISNUMBER($AE$55),$B$39=1),$AE$55,HLOOKUP(INDIRECT(ADDRESS(2,COLUMN())),OFFSET($BN$2,0,0,ROW()-1,60),ROW()-1,FALSE))</f>
        <v>120.101</v>
      </c>
      <c r="AF21">
        <f ca="1">IF(AND(ISNUMBER($AF$55),$B$39=1),$AF$55,HLOOKUP(INDIRECT(ADDRESS(2,COLUMN())),OFFSET($BN$2,0,0,ROW()-1,60),ROW()-1,FALSE))</f>
        <v>98.358000000000004</v>
      </c>
      <c r="AG21">
        <f ca="1">IF(AND(ISNUMBER($AG$55),$B$39=1),$AG$55,HLOOKUP(INDIRECT(ADDRESS(2,COLUMN())),OFFSET($BN$2,0,0,ROW()-1,60),ROW()-1,FALSE))</f>
        <v>111.669</v>
      </c>
      <c r="AH21">
        <f ca="1">IF(AND(ISNUMBER($AH$55),$B$39=1),$AH$55,HLOOKUP(INDIRECT(ADDRESS(2,COLUMN())),OFFSET($BN$2,0,0,ROW()-1,60),ROW()-1,FALSE))</f>
        <v>98.605999999999995</v>
      </c>
      <c r="AI21">
        <f ca="1">IF(AND(ISNUMBER($AI$55),$B$39=1),$AI$55,HLOOKUP(INDIRECT(ADDRESS(2,COLUMN())),OFFSET($BN$2,0,0,ROW()-1,60),ROW()-1,FALSE))</f>
        <v>97.433000000000007</v>
      </c>
      <c r="AJ21">
        <f ca="1">IF(AND(ISNUMBER($AJ$55),$B$39=1),$AJ$55,HLOOKUP(INDIRECT(ADDRESS(2,COLUMN())),OFFSET($BN$2,0,0,ROW()-1,60),ROW()-1,FALSE))</f>
        <v>93.376000000000005</v>
      </c>
      <c r="AK21">
        <f ca="1">IF(AND(ISNUMBER($AK$55),$B$39=1),$AK$55,HLOOKUP(INDIRECT(ADDRESS(2,COLUMN())),OFFSET($BN$2,0,0,ROW()-1,60),ROW()-1,FALSE))</f>
        <v>106.773</v>
      </c>
      <c r="AL21">
        <f ca="1">IF(AND(ISNUMBER($AL$55),$B$39=1),$AL$55,HLOOKUP(INDIRECT(ADDRESS(2,COLUMN())),OFFSET($BN$2,0,0,ROW()-1,60),ROW()-1,FALSE))</f>
        <v>95.248999999999995</v>
      </c>
      <c r="AM21">
        <f ca="1">IF(AND(ISNUMBER($AM$55),$B$39=1),$AM$55,HLOOKUP(INDIRECT(ADDRESS(2,COLUMN())),OFFSET($BN$2,0,0,ROW()-1,60),ROW()-1,FALSE))</f>
        <v>94.323999999999998</v>
      </c>
      <c r="AN21">
        <f ca="1">IF(AND(ISNUMBER($AN$55),$B$39=1),$AN$55,HLOOKUP(INDIRECT(ADDRESS(2,COLUMN())),OFFSET($BN$2,0,0,ROW()-1,60),ROW()-1,FALSE))</f>
        <v>90.88</v>
      </c>
      <c r="AO21">
        <f ca="1">IF(AND(ISNUMBER($AO$55),$B$39=1),$AO$55,HLOOKUP(INDIRECT(ADDRESS(2,COLUMN())),OFFSET($BN$2,0,0,ROW()-1,60),ROW()-1,FALSE))</f>
        <v>102.992</v>
      </c>
      <c r="AP21">
        <f ca="1">IF(AND(ISNUMBER($AP$55),$B$39=1),$AP$55,HLOOKUP(INDIRECT(ADDRESS(2,COLUMN())),OFFSET($BN$2,0,0,ROW()-1,60),ROW()-1,FALSE))</f>
        <v>89.168999999999997</v>
      </c>
      <c r="AQ21">
        <f ca="1">IF(AND(ISNUMBER($AQ$55),$B$39=1),$AQ$55,HLOOKUP(INDIRECT(ADDRESS(2,COLUMN())),OFFSET($BN$2,0,0,ROW()-1,60),ROW()-1,FALSE))</f>
        <v>93.203000000000003</v>
      </c>
      <c r="AR21">
        <f ca="1">IF(AND(ISNUMBER($AR$55),$B$39=1),$AR$55,HLOOKUP(INDIRECT(ADDRESS(2,COLUMN())),OFFSET($BN$2,0,0,ROW()-1,60),ROW()-1,FALSE))</f>
        <v>88.858000000000004</v>
      </c>
      <c r="AS21">
        <f ca="1">IF(AND(ISNUMBER($AS$55),$B$39=1),$AS$55,HLOOKUP(INDIRECT(ADDRESS(2,COLUMN())),OFFSET($BN$2,0,0,ROW()-1,60),ROW()-1,FALSE))</f>
        <v>105.59699999999999</v>
      </c>
      <c r="AT21">
        <f ca="1">IF(AND(ISNUMBER($AT$55),$B$39=1),$AT$55,HLOOKUP(INDIRECT(ADDRESS(2,COLUMN())),OFFSET($BN$2,0,0,ROW()-1,60),ROW()-1,FALSE))</f>
        <v>97.617999999999995</v>
      </c>
      <c r="AU21">
        <f ca="1">IF(AND(ISNUMBER($AU$55),$B$39=1),$AU$55,HLOOKUP(INDIRECT(ADDRESS(2,COLUMN())),OFFSET($BN$2,0,0,ROW()-1,60),ROW()-1,FALSE))</f>
        <v>89.858999999999995</v>
      </c>
      <c r="AV21">
        <f ca="1">IF(AND(ISNUMBER($AV$55),$B$39=1),$AV$55,HLOOKUP(INDIRECT(ADDRESS(2,COLUMN())),OFFSET($BN$2,0,0,ROW()-1,60),ROW()-1,FALSE))</f>
        <v>89.349000000000004</v>
      </c>
      <c r="AW21">
        <f ca="1">IF(AND(ISNUMBER($AW$55),$B$39=1),$AW$55,HLOOKUP(INDIRECT(ADDRESS(2,COLUMN())),OFFSET($BN$2,0,0,ROW()-1,60),ROW()-1,FALSE))</f>
        <v>103.09</v>
      </c>
      <c r="AX21">
        <f ca="1">IF(AND(ISNUMBER($AX$55),$B$39=1),$AX$55,HLOOKUP(INDIRECT(ADDRESS(2,COLUMN())),OFFSET($BN$2,0,0,ROW()-1,60),ROW()-1,FALSE))</f>
        <v>89.036000000000001</v>
      </c>
      <c r="AY21">
        <f ca="1">IF(AND(ISNUMBER($AY$55),$B$39=1),$AY$55,HLOOKUP(INDIRECT(ADDRESS(2,COLUMN())),OFFSET($BN$2,0,0,ROW()-1,60),ROW()-1,FALSE))</f>
        <v>87.545000000000002</v>
      </c>
      <c r="AZ21">
        <f ca="1">IF(AND(ISNUMBER($AZ$55),$B$39=1),$AZ$55,HLOOKUP(INDIRECT(ADDRESS(2,COLUMN())),OFFSET($BN$2,0,0,ROW()-1,60),ROW()-1,FALSE))</f>
        <v>86.97</v>
      </c>
      <c r="BA21">
        <f ca="1">IF(AND(ISNUMBER($BA$55),$B$39=1),$BA$55,HLOOKUP(INDIRECT(ADDRESS(2,COLUMN())),OFFSET($BN$2,0,0,ROW()-1,60),ROW()-1,FALSE))</f>
        <v>97.700999999999993</v>
      </c>
      <c r="BB21">
        <f ca="1">IF(AND(ISNUMBER($BB$55),$B$39=1),$BB$55,HLOOKUP(INDIRECT(ADDRESS(2,COLUMN())),OFFSET($BN$2,0,0,ROW()-1,60),ROW()-1,FALSE))</f>
        <v>109.89100000000001</v>
      </c>
      <c r="BC21">
        <f ca="1">IF(AND(ISNUMBER($BC$55),$B$39=1),$BC$55,HLOOKUP(INDIRECT(ADDRESS(2,COLUMN())),OFFSET($BN$2,0,0,ROW()-1,60),ROW()-1,FALSE))</f>
        <v>99.319000000000003</v>
      </c>
      <c r="BD21">
        <f ca="1">IF(AND(ISNUMBER($BD$55),$B$39=1),$BD$55,HLOOKUP(INDIRECT(ADDRESS(2,COLUMN())),OFFSET($BN$2,0,0,ROW()-1,60),ROW()-1,FALSE))</f>
        <v>106.675</v>
      </c>
      <c r="BE21">
        <f ca="1">IF(AND(ISNUMBER($BE$55),$B$39=1),$BE$55,HLOOKUP(INDIRECT(ADDRESS(2,COLUMN())),OFFSET($BN$2,0,0,ROW()-1,60),ROW()-1,FALSE))</f>
        <v>117.386</v>
      </c>
      <c r="BF21">
        <f ca="1">IF(AND(ISNUMBER($BF$55),$B$39=1),$BF$55,HLOOKUP(INDIRECT(ADDRESS(2,COLUMN())),OFFSET($BN$2,0,0,ROW()-1,60),ROW()-1,FALSE))</f>
        <v>97.727000000000004</v>
      </c>
      <c r="BG21">
        <f ca="1">IF(AND(ISNUMBER($BG$55),$B$39=1),$BG$55,HLOOKUP(INDIRECT(ADDRESS(2,COLUMN())),OFFSET($BN$2,0,0,ROW()-1,60),ROW()-1,FALSE))</f>
        <v>103.718</v>
      </c>
      <c r="BH21">
        <f ca="1">IF(AND(ISNUMBER($BH$55),$B$39=1),$BH$55,HLOOKUP(INDIRECT(ADDRESS(2,COLUMN())),OFFSET($BN$2,0,0,ROW()-1,60),ROW()-1,FALSE))</f>
        <v>105.59099999999999</v>
      </c>
      <c r="BI21">
        <f ca="1">IF(AND(ISNUMBER($BI$55),$B$39=1),$BI$55,HLOOKUP(INDIRECT(ADDRESS(2,COLUMN())),OFFSET($BN$2,0,0,ROW()-1,60),ROW()-1,FALSE))</f>
        <v>104.503</v>
      </c>
      <c r="BJ21">
        <f ca="1">IF(AND(ISNUMBER($BJ$55),$B$39=1),$BJ$55,HLOOKUP(INDIRECT(ADDRESS(2,COLUMN())),OFFSET($BN$2,0,0,ROW()-1,60),ROW()-1,FALSE))</f>
        <v>69.885000000000005</v>
      </c>
      <c r="BK21">
        <f ca="1">IF(AND(ISNUMBER($BK$55),$B$39=1),$BK$55,HLOOKUP(INDIRECT(ADDRESS(2,COLUMN())),OFFSET($BN$2,0,0,ROW()-1,60),ROW()-1,FALSE))</f>
        <v>66.177999999999997</v>
      </c>
      <c r="BL21">
        <f ca="1">IF(AND(ISNUMBER($BL$55),$B$39=1),$BL$55,HLOOKUP(INDIRECT(ADDRESS(2,COLUMN())),OFFSET($BN$2,0,0,ROW()-1,60),ROW()-1,FALSE))</f>
        <v>113.18600000000001</v>
      </c>
      <c r="BM21">
        <f ca="1">IF(AND(ISNUMBER($BM$55),$B$39=1),$BM$55,HLOOKUP(INDIRECT(ADDRESS(2,COLUMN())),OFFSET($BN$2,0,0,ROW()-1,60),ROW()-1,FALSE))</f>
        <v>112.24299999999999</v>
      </c>
      <c r="BN21">
        <f>258.4562401</f>
        <v>258.4562401</v>
      </c>
      <c r="BO21">
        <f>267.2</f>
        <v>267.2</v>
      </c>
      <c r="BP21">
        <f>248.069</f>
        <v>248.06899999999999</v>
      </c>
      <c r="BQ21">
        <f>272.077</f>
        <v>272.077</v>
      </c>
      <c r="BR21">
        <f>239.17</f>
        <v>239.17</v>
      </c>
      <c r="BS21">
        <f>248.583</f>
        <v>248.583</v>
      </c>
      <c r="BT21">
        <f>218.282</f>
        <v>218.28200000000001</v>
      </c>
      <c r="BU21">
        <f>227.296</f>
        <v>227.29599999999999</v>
      </c>
      <c r="BV21">
        <f>202.667</f>
        <v>202.667</v>
      </c>
      <c r="BW21">
        <f>210.02</f>
        <v>210.02</v>
      </c>
      <c r="BX21">
        <f>197.481</f>
        <v>197.48099999999999</v>
      </c>
      <c r="BY21">
        <f>208.485</f>
        <v>208.48500000000001</v>
      </c>
      <c r="BZ21">
        <f>169.608</f>
        <v>169.608</v>
      </c>
      <c r="CA21">
        <f>169.176</f>
        <v>169.17599999999999</v>
      </c>
      <c r="CB21">
        <f>160.29</f>
        <v>160.29</v>
      </c>
      <c r="CC21">
        <f>171.58</f>
        <v>171.58</v>
      </c>
      <c r="CD21">
        <f>152.068</f>
        <v>152.06800000000001</v>
      </c>
      <c r="CE21">
        <f>152.99</f>
        <v>152.99</v>
      </c>
      <c r="CF21">
        <f>145.881</f>
        <v>145.881</v>
      </c>
      <c r="CG21">
        <f>163.368</f>
        <v>163.36799999999999</v>
      </c>
      <c r="CH21">
        <f>141.189</f>
        <v>141.18899999999999</v>
      </c>
      <c r="CI21">
        <f>136.769</f>
        <v>136.76900000000001</v>
      </c>
      <c r="CJ21">
        <f>132.443</f>
        <v>132.44300000000001</v>
      </c>
      <c r="CK21">
        <f>146.302</f>
        <v>146.30199999999999</v>
      </c>
      <c r="CL21">
        <f>127.281</f>
        <v>127.28100000000001</v>
      </c>
      <c r="CM21">
        <f>120.101</f>
        <v>120.101</v>
      </c>
      <c r="CN21">
        <f>98.358</f>
        <v>98.358000000000004</v>
      </c>
      <c r="CO21">
        <f>111.669</f>
        <v>111.669</v>
      </c>
      <c r="CP21">
        <f>98.606</f>
        <v>98.605999999999995</v>
      </c>
      <c r="CQ21">
        <f>97.433</f>
        <v>97.433000000000007</v>
      </c>
      <c r="CR21">
        <f>93.376</f>
        <v>93.376000000000005</v>
      </c>
      <c r="CS21">
        <f>106.773</f>
        <v>106.773</v>
      </c>
      <c r="CT21">
        <f>95.249</f>
        <v>95.248999999999995</v>
      </c>
      <c r="CU21">
        <f>94.324</f>
        <v>94.323999999999998</v>
      </c>
      <c r="CV21">
        <f>90.88</f>
        <v>90.88</v>
      </c>
      <c r="CW21">
        <f>102.992</f>
        <v>102.992</v>
      </c>
      <c r="CX21">
        <f>89.169</f>
        <v>89.168999999999997</v>
      </c>
      <c r="CY21">
        <f>93.203</f>
        <v>93.203000000000003</v>
      </c>
      <c r="CZ21">
        <f>88.858</f>
        <v>88.858000000000004</v>
      </c>
      <c r="DA21">
        <f>105.597</f>
        <v>105.59699999999999</v>
      </c>
      <c r="DB21">
        <f>97.618</f>
        <v>97.617999999999995</v>
      </c>
      <c r="DC21">
        <f>89.859</f>
        <v>89.858999999999995</v>
      </c>
      <c r="DD21">
        <f>89.349</f>
        <v>89.349000000000004</v>
      </c>
      <c r="DE21">
        <f>103.09</f>
        <v>103.09</v>
      </c>
      <c r="DF21">
        <f>89.036</f>
        <v>89.036000000000001</v>
      </c>
      <c r="DG21">
        <f>87.545</f>
        <v>87.545000000000002</v>
      </c>
      <c r="DH21">
        <f>86.97</f>
        <v>86.97</v>
      </c>
      <c r="DI21">
        <f>97.701</f>
        <v>97.700999999999993</v>
      </c>
      <c r="DJ21">
        <f>109.891</f>
        <v>109.89100000000001</v>
      </c>
      <c r="DK21">
        <f>99.319</f>
        <v>99.319000000000003</v>
      </c>
      <c r="DL21">
        <f>106.675</f>
        <v>106.675</v>
      </c>
      <c r="DM21">
        <f>117.386</f>
        <v>117.386</v>
      </c>
      <c r="DN21">
        <f>97.727</f>
        <v>97.727000000000004</v>
      </c>
      <c r="DO21">
        <f>103.718</f>
        <v>103.718</v>
      </c>
      <c r="DP21">
        <f>105.591</f>
        <v>105.59099999999999</v>
      </c>
      <c r="DQ21">
        <f>104.503</f>
        <v>104.503</v>
      </c>
      <c r="DR21">
        <f>69.885</f>
        <v>69.885000000000005</v>
      </c>
      <c r="DS21">
        <f>66.178</f>
        <v>66.177999999999997</v>
      </c>
      <c r="DT21">
        <f>113.186</f>
        <v>113.18600000000001</v>
      </c>
      <c r="DU21">
        <f>112.243</f>
        <v>112.24299999999999</v>
      </c>
    </row>
    <row r="22" spans="1:125">
      <c r="A22" t="str">
        <f>"    预制房房地产投资信托同店净营业利润增长"</f>
        <v xml:space="preserve">    预制房房地产投资信托同店净营业利润增长</v>
      </c>
      <c r="B22" t="str">
        <f>"RECFSSMH Index"</f>
        <v>RECFSSMH Index</v>
      </c>
      <c r="C22" t="str">
        <f>"PR005"</f>
        <v>PR005</v>
      </c>
      <c r="D22" t="str">
        <f>"PX_LAST"</f>
        <v>PX_LAST</v>
      </c>
      <c r="E22" t="str">
        <f>"动态"</f>
        <v>动态</v>
      </c>
      <c r="F22">
        <f ca="1">IF(AND(ISNUMBER($F$56),$B$39=1),$F$56,HLOOKUP(INDIRECT(ADDRESS(2,COLUMN())),OFFSET($BN$2,0,0,ROW()-1,60),ROW()-1,FALSE))</f>
        <v>5.6712443669999999</v>
      </c>
      <c r="G22">
        <f ca="1">IF(AND(ISNUMBER($G$56),$B$39=1),$G$56,HLOOKUP(INDIRECT(ADDRESS(2,COLUMN())),OFFSET($BN$2,0,0,ROW()-1,60),ROW()-1,FALSE))</f>
        <v>7.1250470559999997</v>
      </c>
      <c r="H22">
        <f ca="1">IF(AND(ISNUMBER($H$56),$B$39=1),$H$56,HLOOKUP(INDIRECT(ADDRESS(2,COLUMN())),OFFSET($BN$2,0,0,ROW()-1,60),ROW()-1,FALSE))</f>
        <v>5.6727111399999997</v>
      </c>
      <c r="I22">
        <f ca="1">IF(AND(ISNUMBER($I$56),$B$39=1),$I$56,HLOOKUP(INDIRECT(ADDRESS(2,COLUMN())),OFFSET($BN$2,0,0,ROW()-1,60),ROW()-1,FALSE))</f>
        <v>5.3860161519999998</v>
      </c>
      <c r="J22">
        <f ca="1">IF(AND(ISNUMBER($J$56),$B$39=1),$J$56,HLOOKUP(INDIRECT(ADDRESS(2,COLUMN())),OFFSET($BN$2,0,0,ROW()-1,60),ROW()-1,FALSE))</f>
        <v>7.4271456479999998</v>
      </c>
      <c r="K22">
        <f ca="1">IF(AND(ISNUMBER($K$56),$B$39=1),$K$56,HLOOKUP(INDIRECT(ADDRESS(2,COLUMN())),OFFSET($BN$2,0,0,ROW()-1,60),ROW()-1,FALSE))</f>
        <v>6.3996180799999998</v>
      </c>
      <c r="L22">
        <f ca="1">IF(AND(ISNUMBER($L$56),$B$39=1),$L$56,HLOOKUP(INDIRECT(ADDRESS(2,COLUMN())),OFFSET($BN$2,0,0,ROW()-1,60),ROW()-1,FALSE))</f>
        <v>7.1072306110000003</v>
      </c>
      <c r="M22">
        <f ca="1">IF(AND(ISNUMBER($M$56),$B$39=1),$M$56,HLOOKUP(INDIRECT(ADDRESS(2,COLUMN())),OFFSET($BN$2,0,0,ROW()-1,60),ROW()-1,FALSE))</f>
        <v>6.5889405119999997</v>
      </c>
      <c r="N22">
        <f ca="1">IF(AND(ISNUMBER($N$56),$B$39=1),$N$56,HLOOKUP(INDIRECT(ADDRESS(2,COLUMN())),OFFSET($BN$2,0,0,ROW()-1,60),ROW()-1,FALSE))</f>
        <v>7.2013666560000003</v>
      </c>
      <c r="O22">
        <f ca="1">IF(AND(ISNUMBER($O$56),$B$39=1),$O$56,HLOOKUP(INDIRECT(ADDRESS(2,COLUMN())),OFFSET($BN$2,0,0,ROW()-1,60),ROW()-1,FALSE))</f>
        <v>6.9706906660000003</v>
      </c>
      <c r="P22">
        <f ca="1">IF(AND(ISNUMBER($P$56),$B$39=1),$P$56,HLOOKUP(INDIRECT(ADDRESS(2,COLUMN())),OFFSET($BN$2,0,0,ROW()-1,60),ROW()-1,FALSE))</f>
        <v>6.7661440419999996</v>
      </c>
      <c r="Q22">
        <f ca="1">IF(AND(ISNUMBER($Q$56),$B$39=1),$Q$56,HLOOKUP(INDIRECT(ADDRESS(2,COLUMN())),OFFSET($BN$2,0,0,ROW()-1,60),ROW()-1,FALSE))</f>
        <v>7.3580854090000001</v>
      </c>
      <c r="R22">
        <f ca="1">IF(AND(ISNUMBER($R$56),$B$39=1),$R$56,HLOOKUP(INDIRECT(ADDRESS(2,COLUMN())),OFFSET($BN$2,0,0,ROW()-1,60),ROW()-1,FALSE))</f>
        <v>5.2041535630000002</v>
      </c>
      <c r="S22">
        <f ca="1">IF(AND(ISNUMBER($S$56),$B$39=1),$S$56,HLOOKUP(INDIRECT(ADDRESS(2,COLUMN())),OFFSET($BN$2,0,0,ROW()-1,60),ROW()-1,FALSE))</f>
        <v>6.362169164</v>
      </c>
      <c r="T22">
        <f ca="1">IF(AND(ISNUMBER($T$56),$B$39=1),$T$56,HLOOKUP(INDIRECT(ADDRESS(2,COLUMN())),OFFSET($BN$2,0,0,ROW()-1,60),ROW()-1,FALSE))</f>
        <v>5.5034787610000002</v>
      </c>
      <c r="U22">
        <f ca="1">IF(AND(ISNUMBER($U$56),$B$39=1),$U$56,HLOOKUP(INDIRECT(ADDRESS(2,COLUMN())),OFFSET($BN$2,0,0,ROW()-1,60),ROW()-1,FALSE))</f>
        <v>5.0217492369999999</v>
      </c>
      <c r="V22">
        <f ca="1">IF(AND(ISNUMBER($V$56),$B$39=1),$V$56,HLOOKUP(INDIRECT(ADDRESS(2,COLUMN())),OFFSET($BN$2,0,0,ROW()-1,60),ROW()-1,FALSE))</f>
        <v>4.7999058550000004</v>
      </c>
      <c r="W22">
        <f ca="1">IF(AND(ISNUMBER($W$56),$B$39=1),$W$56,HLOOKUP(INDIRECT(ADDRESS(2,COLUMN())),OFFSET($BN$2,0,0,ROW()-1,60),ROW()-1,FALSE))</f>
        <v>3.8399371260000001</v>
      </c>
      <c r="X22">
        <f ca="1">IF(AND(ISNUMBER($X$56),$B$39=1),$X$56,HLOOKUP(INDIRECT(ADDRESS(2,COLUMN())),OFFSET($BN$2,0,0,ROW()-1,60),ROW()-1,FALSE))</f>
        <v>3.6416021519999999</v>
      </c>
      <c r="Y22">
        <f ca="1">IF(AND(ISNUMBER($Y$56),$B$39=1),$Y$56,HLOOKUP(INDIRECT(ADDRESS(2,COLUMN())),OFFSET($BN$2,0,0,ROW()-1,60),ROW()-1,FALSE))</f>
        <v>3.7173049539999998</v>
      </c>
      <c r="Z22">
        <f ca="1">IF(AND(ISNUMBER($Z$56),$B$39=1),$Z$56,HLOOKUP(INDIRECT(ADDRESS(2,COLUMN())),OFFSET($BN$2,0,0,ROW()-1,60),ROW()-1,FALSE))</f>
        <v>2.519552332</v>
      </c>
      <c r="AA22">
        <f ca="1">IF(AND(ISNUMBER($AA$56),$B$39=1),$AA$56,HLOOKUP(INDIRECT(ADDRESS(2,COLUMN())),OFFSET($BN$2,0,0,ROW()-1,60),ROW()-1,FALSE))</f>
        <v>3.1665556929999998</v>
      </c>
      <c r="AB22">
        <f ca="1">IF(AND(ISNUMBER($AB$56),$B$39=1),$AB$56,HLOOKUP(INDIRECT(ADDRESS(2,COLUMN())),OFFSET($BN$2,0,0,ROW()-1,60),ROW()-1,FALSE))</f>
        <v>4.6549543499999997</v>
      </c>
      <c r="AC22">
        <f ca="1">IF(AND(ISNUMBER($AC$56),$B$39=1),$AC$56,HLOOKUP(INDIRECT(ADDRESS(2,COLUMN())),OFFSET($BN$2,0,0,ROW()-1,60),ROW()-1,FALSE))</f>
        <v>3.157062544</v>
      </c>
      <c r="AD22">
        <f ca="1">IF(AND(ISNUMBER($AD$56),$B$39=1),$AD$56,HLOOKUP(INDIRECT(ADDRESS(2,COLUMN())),OFFSET($BN$2,0,0,ROW()-1,60),ROW()-1,FALSE))</f>
        <v>2.2642198480000002</v>
      </c>
      <c r="AE22">
        <f ca="1">IF(AND(ISNUMBER($AE$56),$B$39=1),$AE$56,HLOOKUP(INDIRECT(ADDRESS(2,COLUMN())),OFFSET($BN$2,0,0,ROW()-1,60),ROW()-1,FALSE))</f>
        <v>4.3254321100000004</v>
      </c>
      <c r="AF22">
        <f ca="1">IF(AND(ISNUMBER($AF$56),$B$39=1),$AF$56,HLOOKUP(INDIRECT(ADDRESS(2,COLUMN())),OFFSET($BN$2,0,0,ROW()-1,60),ROW()-1,FALSE))</f>
        <v>3.312751918</v>
      </c>
      <c r="AG22">
        <f ca="1">IF(AND(ISNUMBER($AG$56),$B$39=1),$AG$56,HLOOKUP(INDIRECT(ADDRESS(2,COLUMN())),OFFSET($BN$2,0,0,ROW()-1,60),ROW()-1,FALSE))</f>
        <v>2.3750488089999999</v>
      </c>
      <c r="AH22">
        <f ca="1">IF(AND(ISNUMBER($AH$56),$B$39=1),$AH$56,HLOOKUP(INDIRECT(ADDRESS(2,COLUMN())),OFFSET($BN$2,0,0,ROW()-1,60),ROW()-1,FALSE))</f>
        <v>3.3194050329999998</v>
      </c>
      <c r="AI22">
        <f ca="1">IF(AND(ISNUMBER($AI$56),$B$39=1),$AI$56,HLOOKUP(INDIRECT(ADDRESS(2,COLUMN())),OFFSET($BN$2,0,0,ROW()-1,60),ROW()-1,FALSE))</f>
        <v>3.701906256</v>
      </c>
      <c r="AJ22">
        <f ca="1">IF(AND(ISNUMBER($AJ$56),$B$39=1),$AJ$56,HLOOKUP(INDIRECT(ADDRESS(2,COLUMN())),OFFSET($BN$2,0,0,ROW()-1,60),ROW()-1,FALSE))</f>
        <v>2.1966216369999998</v>
      </c>
      <c r="AK22">
        <f ca="1">IF(AND(ISNUMBER($AK$56),$B$39=1),$AK$56,HLOOKUP(INDIRECT(ADDRESS(2,COLUMN())),OFFSET($BN$2,0,0,ROW()-1,60),ROW()-1,FALSE))</f>
        <v>0.82698392399999998</v>
      </c>
      <c r="AL22">
        <f ca="1">IF(AND(ISNUMBER($AL$56),$B$39=1),$AL$56,HLOOKUP(INDIRECT(ADDRESS(2,COLUMN())),OFFSET($BN$2,0,0,ROW()-1,60),ROW()-1,FALSE))</f>
        <v>2.319247098</v>
      </c>
      <c r="AM22">
        <f ca="1">IF(AND(ISNUMBER($AM$56),$B$39=1),$AM$56,HLOOKUP(INDIRECT(ADDRESS(2,COLUMN())),OFFSET($BN$2,0,0,ROW()-1,60),ROW()-1,FALSE))</f>
        <v>4.0603191650000001</v>
      </c>
      <c r="AN22">
        <f ca="1">IF(AND(ISNUMBER($AN$56),$B$39=1),$AN$56,HLOOKUP(INDIRECT(ADDRESS(2,COLUMN())),OFFSET($BN$2,0,0,ROW()-1,60),ROW()-1,FALSE))</f>
        <v>5.6038622919999996</v>
      </c>
      <c r="AO22">
        <f ca="1">IF(AND(ISNUMBER($AO$56),$B$39=1),$AO$56,HLOOKUP(INDIRECT(ADDRESS(2,COLUMN())),OFFSET($BN$2,0,0,ROW()-1,60),ROW()-1,FALSE))</f>
        <v>2.9638721380000002</v>
      </c>
      <c r="AP22">
        <f ca="1">IF(AND(ISNUMBER($AP$56),$B$39=1),$AP$56,HLOOKUP(INDIRECT(ADDRESS(2,COLUMN())),OFFSET($BN$2,0,0,ROW()-1,60),ROW()-1,FALSE))</f>
        <v>3.2571984660000002</v>
      </c>
      <c r="AQ22">
        <f ca="1">IF(AND(ISNUMBER($AQ$56),$B$39=1),$AQ$56,HLOOKUP(INDIRECT(ADDRESS(2,COLUMN())),OFFSET($BN$2,0,0,ROW()-1,60),ROW()-1,FALSE))</f>
        <v>3.3145570499999999</v>
      </c>
      <c r="AR22">
        <f ca="1">IF(AND(ISNUMBER($AR$56),$B$39=1),$AR$56,HLOOKUP(INDIRECT(ADDRESS(2,COLUMN())),OFFSET($BN$2,0,0,ROW()-1,60),ROW()-1,FALSE))</f>
        <v>2.2789695509999999</v>
      </c>
      <c r="AS22">
        <f ca="1">IF(AND(ISNUMBER($AS$56),$B$39=1),$AS$56,HLOOKUP(INDIRECT(ADDRESS(2,COLUMN())),OFFSET($BN$2,0,0,ROW()-1,60),ROW()-1,FALSE))</f>
        <v>3.346392426</v>
      </c>
      <c r="AT22">
        <f ca="1">IF(AND(ISNUMBER($AT$56),$B$39=1),$AT$56,HLOOKUP(INDIRECT(ADDRESS(2,COLUMN())),OFFSET($BN$2,0,0,ROW()-1,60),ROW()-1,FALSE))</f>
        <v>3.840411783</v>
      </c>
      <c r="AU22">
        <f ca="1">IF(AND(ISNUMBER($AU$56),$B$39=1),$AU$56,HLOOKUP(INDIRECT(ADDRESS(2,COLUMN())),OFFSET($BN$2,0,0,ROW()-1,60),ROW()-1,FALSE))</f>
        <v>4.2232708309999998</v>
      </c>
      <c r="AV22">
        <f ca="1">IF(AND(ISNUMBER($AV$56),$B$39=1),$AV$56,HLOOKUP(INDIRECT(ADDRESS(2,COLUMN())),OFFSET($BN$2,0,0,ROW()-1,60),ROW()-1,FALSE))</f>
        <v>6.1322139</v>
      </c>
      <c r="AW22">
        <f ca="1">IF(AND(ISNUMBER($AW$56),$B$39=1),$AW$56,HLOOKUP(INDIRECT(ADDRESS(2,COLUMN())),OFFSET($BN$2,0,0,ROW()-1,60),ROW()-1,FALSE))</f>
        <v>5.336620141</v>
      </c>
      <c r="AX22">
        <f ca="1">IF(AND(ISNUMBER($AX$56),$B$39=1),$AX$56,HLOOKUP(INDIRECT(ADDRESS(2,COLUMN())),OFFSET($BN$2,0,0,ROW()-1,60),ROW()-1,FALSE))</f>
        <v>5.0807483700000002</v>
      </c>
      <c r="AY22">
        <f ca="1">IF(AND(ISNUMBER($AY$56),$B$39=1),$AY$56,HLOOKUP(INDIRECT(ADDRESS(2,COLUMN())),OFFSET($BN$2,0,0,ROW()-1,60),ROW()-1,FALSE))</f>
        <v>4.8191798520000004</v>
      </c>
      <c r="AZ22">
        <f ca="1">IF(AND(ISNUMBER($AZ$56),$B$39=1),$AZ$56,HLOOKUP(INDIRECT(ADDRESS(2,COLUMN())),OFFSET($BN$2,0,0,ROW()-1,60),ROW()-1,FALSE))</f>
        <v>3.5078806999999999</v>
      </c>
      <c r="BA22">
        <f ca="1">IF(AND(ISNUMBER($BA$56),$B$39=1),$BA$56,HLOOKUP(INDIRECT(ADDRESS(2,COLUMN())),OFFSET($BN$2,0,0,ROW()-1,60),ROW()-1,FALSE))</f>
        <v>4.4166881279999997</v>
      </c>
      <c r="BB22">
        <f ca="1">IF(AND(ISNUMBER($BB$56),$B$39=1),$BB$56,HLOOKUP(INDIRECT(ADDRESS(2,COLUMN())),OFFSET($BN$2,0,0,ROW()-1,60),ROW()-1,FALSE))</f>
        <v>8.7523749209999995</v>
      </c>
      <c r="BC22">
        <f ca="1">IF(AND(ISNUMBER($BC$56),$B$39=1),$BC$56,HLOOKUP(INDIRECT(ADDRESS(2,COLUMN())),OFFSET($BN$2,0,0,ROW()-1,60),ROW()-1,FALSE))</f>
        <v>5.545291185</v>
      </c>
      <c r="BD22">
        <f ca="1">IF(AND(ISNUMBER($BD$56),$B$39=1),$BD$56,HLOOKUP(INDIRECT(ADDRESS(2,COLUMN())),OFFSET($BN$2,0,0,ROW()-1,60),ROW()-1,FALSE))</f>
        <v>1.069697669</v>
      </c>
      <c r="BE22">
        <f ca="1">IF(AND(ISNUMBER($BE$56),$B$39=1),$BE$56,HLOOKUP(INDIRECT(ADDRESS(2,COLUMN())),OFFSET($BN$2,0,0,ROW()-1,60),ROW()-1,FALSE))</f>
        <v>0.30311320200000003</v>
      </c>
      <c r="BF22">
        <f ca="1">IF(AND(ISNUMBER($BF$56),$B$39=1),$BF$56,HLOOKUP(INDIRECT(ADDRESS(2,COLUMN())),OFFSET($BN$2,0,0,ROW()-1,60),ROW()-1,FALSE))</f>
        <v>1.555398324</v>
      </c>
      <c r="BG22">
        <f ca="1">IF(AND(ISNUMBER($BG$56),$B$39=1),$BG$56,HLOOKUP(INDIRECT(ADDRESS(2,COLUMN())),OFFSET($BN$2,0,0,ROW()-1,60),ROW()-1,FALSE))</f>
        <v>-0.46809944399999998</v>
      </c>
      <c r="BH22">
        <f ca="1">IF(AND(ISNUMBER($BH$56),$B$39=1),$BH$56,HLOOKUP(INDIRECT(ADDRESS(2,COLUMN())),OFFSET($BN$2,0,0,ROW()-1,60),ROW()-1,FALSE))</f>
        <v>1.5983910240000001</v>
      </c>
      <c r="BI22">
        <f ca="1">IF(AND(ISNUMBER($BI$56),$B$39=1),$BI$56,HLOOKUP(INDIRECT(ADDRESS(2,COLUMN())),OFFSET($BN$2,0,0,ROW()-1,60),ROW()-1,FALSE))</f>
        <v>3.9471698989999999</v>
      </c>
      <c r="BJ22">
        <f ca="1">IF(AND(ISNUMBER($BJ$56),$B$39=1),$BJ$56,HLOOKUP(INDIRECT(ADDRESS(2,COLUMN())),OFFSET($BN$2,0,0,ROW()-1,60),ROW()-1,FALSE))</f>
        <v>1.797246806</v>
      </c>
      <c r="BK22">
        <f ca="1">IF(AND(ISNUMBER($BK$56),$B$39=1),$BK$56,HLOOKUP(INDIRECT(ADDRESS(2,COLUMN())),OFFSET($BN$2,0,0,ROW()-1,60),ROW()-1,FALSE))</f>
        <v>2.1223154989999999</v>
      </c>
      <c r="BL22">
        <f ca="1">IF(AND(ISNUMBER($BL$56),$B$39=1),$BL$56,HLOOKUP(INDIRECT(ADDRESS(2,COLUMN())),OFFSET($BN$2,0,0,ROW()-1,60),ROW()-1,FALSE))</f>
        <v>1.7892937149999999</v>
      </c>
      <c r="BM22">
        <f ca="1">IF(AND(ISNUMBER($BM$56),$B$39=1),$BM$56,HLOOKUP(INDIRECT(ADDRESS(2,COLUMN())),OFFSET($BN$2,0,0,ROW()-1,60),ROW()-1,FALSE))</f>
        <v>2.152647639</v>
      </c>
      <c r="BN22">
        <f>5.671244367</f>
        <v>5.6712443669999999</v>
      </c>
      <c r="BO22">
        <f>7.125047056</f>
        <v>7.1250470559999997</v>
      </c>
      <c r="BP22">
        <f>5.67271114</f>
        <v>5.6727111399999997</v>
      </c>
      <c r="BQ22">
        <f>5.386016152</f>
        <v>5.3860161519999998</v>
      </c>
      <c r="BR22">
        <f>7.427145648</f>
        <v>7.4271456479999998</v>
      </c>
      <c r="BS22">
        <f>6.39961808</f>
        <v>6.3996180799999998</v>
      </c>
      <c r="BT22">
        <f>7.107230611</f>
        <v>7.1072306110000003</v>
      </c>
      <c r="BU22">
        <f>6.588940512</f>
        <v>6.5889405119999997</v>
      </c>
      <c r="BV22">
        <f>7.201366656</f>
        <v>7.2013666560000003</v>
      </c>
      <c r="BW22">
        <f>6.970690666</f>
        <v>6.9706906660000003</v>
      </c>
      <c r="BX22">
        <f>6.766144042</f>
        <v>6.7661440419999996</v>
      </c>
      <c r="BY22">
        <f>7.358085409</f>
        <v>7.3580854090000001</v>
      </c>
      <c r="BZ22">
        <f>5.204153563</f>
        <v>5.2041535630000002</v>
      </c>
      <c r="CA22">
        <f>6.362169164</f>
        <v>6.362169164</v>
      </c>
      <c r="CB22">
        <f>5.503478761</f>
        <v>5.5034787610000002</v>
      </c>
      <c r="CC22">
        <f>5.021749237</f>
        <v>5.0217492369999999</v>
      </c>
      <c r="CD22">
        <f>4.799905855</f>
        <v>4.7999058550000004</v>
      </c>
      <c r="CE22">
        <f>3.839937126</f>
        <v>3.8399371260000001</v>
      </c>
      <c r="CF22">
        <f>3.641602152</f>
        <v>3.6416021519999999</v>
      </c>
      <c r="CG22">
        <f>3.717304954</f>
        <v>3.7173049539999998</v>
      </c>
      <c r="CH22">
        <f>2.519552332</f>
        <v>2.519552332</v>
      </c>
      <c r="CI22">
        <f>3.166555693</f>
        <v>3.1665556929999998</v>
      </c>
      <c r="CJ22">
        <f>4.65495435</f>
        <v>4.6549543499999997</v>
      </c>
      <c r="CK22">
        <f>3.157062544</f>
        <v>3.157062544</v>
      </c>
      <c r="CL22">
        <f>2.264219848</f>
        <v>2.2642198480000002</v>
      </c>
      <c r="CM22">
        <f>4.32543211</f>
        <v>4.3254321100000004</v>
      </c>
      <c r="CN22">
        <f>3.312751918</f>
        <v>3.312751918</v>
      </c>
      <c r="CO22">
        <f>2.375048809</f>
        <v>2.3750488089999999</v>
      </c>
      <c r="CP22">
        <f>3.319405033</f>
        <v>3.3194050329999998</v>
      </c>
      <c r="CQ22">
        <f>3.701906256</f>
        <v>3.701906256</v>
      </c>
      <c r="CR22">
        <f>2.196621637</f>
        <v>2.1966216369999998</v>
      </c>
      <c r="CS22">
        <f>0.826983924</f>
        <v>0.82698392399999998</v>
      </c>
      <c r="CT22">
        <f>2.319247098</f>
        <v>2.319247098</v>
      </c>
      <c r="CU22">
        <f>4.060319165</f>
        <v>4.0603191650000001</v>
      </c>
      <c r="CV22">
        <f>5.603862292</f>
        <v>5.6038622919999996</v>
      </c>
      <c r="CW22">
        <f>2.963872138</f>
        <v>2.9638721380000002</v>
      </c>
      <c r="CX22">
        <f>3.257198466</f>
        <v>3.2571984660000002</v>
      </c>
      <c r="CY22">
        <f>3.31455705</f>
        <v>3.3145570499999999</v>
      </c>
      <c r="CZ22">
        <f>2.278969551</f>
        <v>2.2789695509999999</v>
      </c>
      <c r="DA22">
        <f>3.346392426</f>
        <v>3.346392426</v>
      </c>
      <c r="DB22">
        <f>3.840411783</f>
        <v>3.840411783</v>
      </c>
      <c r="DC22">
        <f>4.223270831</f>
        <v>4.2232708309999998</v>
      </c>
      <c r="DD22">
        <f>6.1322139</f>
        <v>6.1322139</v>
      </c>
      <c r="DE22">
        <f>5.336620141</f>
        <v>5.336620141</v>
      </c>
      <c r="DF22">
        <f>5.08074837</f>
        <v>5.0807483700000002</v>
      </c>
      <c r="DG22">
        <f>4.819179852</f>
        <v>4.8191798520000004</v>
      </c>
      <c r="DH22">
        <f>3.5078807</f>
        <v>3.5078806999999999</v>
      </c>
      <c r="DI22">
        <f>4.416688128</f>
        <v>4.4166881279999997</v>
      </c>
      <c r="DJ22">
        <f>8.752374921</f>
        <v>8.7523749209999995</v>
      </c>
      <c r="DK22">
        <f>5.545291185</f>
        <v>5.545291185</v>
      </c>
      <c r="DL22">
        <f>1.069697669</f>
        <v>1.069697669</v>
      </c>
      <c r="DM22">
        <f>0.303113202</f>
        <v>0.30311320200000003</v>
      </c>
      <c r="DN22">
        <f>1.555398324</f>
        <v>1.555398324</v>
      </c>
      <c r="DO22">
        <f>-0.468099444</f>
        <v>-0.46809944399999998</v>
      </c>
      <c r="DP22">
        <f>1.598391024</f>
        <v>1.5983910240000001</v>
      </c>
      <c r="DQ22">
        <f>3.947169899</f>
        <v>3.9471698989999999</v>
      </c>
      <c r="DR22">
        <f>1.797246806</f>
        <v>1.797246806</v>
      </c>
      <c r="DS22">
        <f>2.122315499</f>
        <v>2.1223154989999999</v>
      </c>
      <c r="DT22">
        <f>1.789293715</f>
        <v>1.7892937149999999</v>
      </c>
      <c r="DU22">
        <f>2.152647639</f>
        <v>2.152647639</v>
      </c>
    </row>
    <row r="23" spans="1:125">
      <c r="A23" t="str">
        <f>"    预制房房地产投资信托总股利支付"</f>
        <v xml:space="preserve">    预制房房地产投资信托总股利支付</v>
      </c>
      <c r="B23" t="str">
        <f>"RECFTDMH Index"</f>
        <v>RECFTDMH Index</v>
      </c>
      <c r="C23" t="str">
        <f>"PR005"</f>
        <v>PR005</v>
      </c>
      <c r="D23" t="str">
        <f>"PX_LAST"</f>
        <v>PX_LAST</v>
      </c>
      <c r="E23" t="str">
        <f>"动态"</f>
        <v>动态</v>
      </c>
      <c r="F23">
        <f ca="1">IF(AND(ISNUMBER($F$57),$B$39=1),$F$57,HLOOKUP(INDIRECT(ADDRESS(2,COLUMN())),OFFSET($BN$2,0,0,ROW()-1,60),ROW()-1,FALSE))</f>
        <v>118.38376820000001</v>
      </c>
      <c r="G23">
        <f ca="1">IF(AND(ISNUMBER($G$57),$B$39=1),$G$57,HLOOKUP(INDIRECT(ADDRESS(2,COLUMN())),OFFSET($BN$2,0,0,ROW()-1,60),ROW()-1,FALSE))</f>
        <v>116.349</v>
      </c>
      <c r="H23">
        <f ca="1">IF(AND(ISNUMBER($H$57),$B$39=1),$H$57,HLOOKUP(INDIRECT(ADDRESS(2,COLUMN())),OFFSET($BN$2,0,0,ROW()-1,60),ROW()-1,FALSE))</f>
        <v>111.682</v>
      </c>
      <c r="I23">
        <f ca="1">IF(AND(ISNUMBER($I$57),$B$39=1),$I$57,HLOOKUP(INDIRECT(ADDRESS(2,COLUMN())),OFFSET($BN$2,0,0,ROW()-1,60),ROW()-1,FALSE))</f>
        <v>104.36199999999999</v>
      </c>
      <c r="J23">
        <f ca="1">IF(AND(ISNUMBER($J$57),$B$39=1),$J$57,HLOOKUP(INDIRECT(ADDRESS(2,COLUMN())),OFFSET($BN$2,0,0,ROW()-1,60),ROW()-1,FALSE))</f>
        <v>103.346</v>
      </c>
      <c r="K23">
        <f ca="1">IF(AND(ISNUMBER($K$57),$B$39=1),$K$57,HLOOKUP(INDIRECT(ADDRESS(2,COLUMN())),OFFSET($BN$2,0,0,ROW()-1,60),ROW()-1,FALSE))</f>
        <v>101.015</v>
      </c>
      <c r="L23">
        <f ca="1">IF(AND(ISNUMBER($L$57),$B$39=1),$L$57,HLOOKUP(INDIRECT(ADDRESS(2,COLUMN())),OFFSET($BN$2,0,0,ROW()-1,60),ROW()-1,FALSE))</f>
        <v>96.935000000000002</v>
      </c>
      <c r="M23">
        <f ca="1">IF(AND(ISNUMBER($M$57),$B$39=1),$M$57,HLOOKUP(INDIRECT(ADDRESS(2,COLUMN())),OFFSET($BN$2,0,0,ROW()-1,60),ROW()-1,FALSE))</f>
        <v>88.195999999999998</v>
      </c>
      <c r="N23">
        <f ca="1">IF(AND(ISNUMBER($N$57),$B$39=1),$N$57,HLOOKUP(INDIRECT(ADDRESS(2,COLUMN())),OFFSET($BN$2,0,0,ROW()-1,60),ROW()-1,FALSE))</f>
        <v>84.406000000000006</v>
      </c>
      <c r="O23">
        <f ca="1">IF(AND(ISNUMBER($O$57),$B$39=1),$O$57,HLOOKUP(INDIRECT(ADDRESS(2,COLUMN())),OFFSET($BN$2,0,0,ROW()-1,60),ROW()-1,FALSE))</f>
        <v>84.594999999999999</v>
      </c>
      <c r="P23">
        <f ca="1">IF(AND(ISNUMBER($P$57),$B$39=1),$P$57,HLOOKUP(INDIRECT(ADDRESS(2,COLUMN())),OFFSET($BN$2,0,0,ROW()-1,60),ROW()-1,FALSE))</f>
        <v>85.156999999999996</v>
      </c>
      <c r="Q23">
        <f ca="1">IF(AND(ISNUMBER($Q$57),$B$39=1),$Q$57,HLOOKUP(INDIRECT(ADDRESS(2,COLUMN())),OFFSET($BN$2,0,0,ROW()-1,60),ROW()-1,FALSE))</f>
        <v>76.41</v>
      </c>
      <c r="R23">
        <f ca="1">IF(AND(ISNUMBER($R$57),$B$39=1),$R$57,HLOOKUP(INDIRECT(ADDRESS(2,COLUMN())),OFFSET($BN$2,0,0,ROW()-1,60),ROW()-1,FALSE))</f>
        <v>73.113</v>
      </c>
      <c r="S23">
        <f ca="1">IF(AND(ISNUMBER($S$57),$B$39=1),$S$57,HLOOKUP(INDIRECT(ADDRESS(2,COLUMN())),OFFSET($BN$2,0,0,ROW()-1,60),ROW()-1,FALSE))</f>
        <v>68.197999999999993</v>
      </c>
      <c r="T23">
        <f ca="1">IF(AND(ISNUMBER($T$57),$B$39=1),$T$57,HLOOKUP(INDIRECT(ADDRESS(2,COLUMN())),OFFSET($BN$2,0,0,ROW()-1,60),ROW()-1,FALSE))</f>
        <v>67.542000000000002</v>
      </c>
      <c r="U23">
        <f ca="1">IF(AND(ISNUMBER($U$57),$B$39=1),$U$57,HLOOKUP(INDIRECT(ADDRESS(2,COLUMN())),OFFSET($BN$2,0,0,ROW()-1,60),ROW()-1,FALSE))</f>
        <v>57.109000000000002</v>
      </c>
      <c r="V23">
        <f ca="1">IF(AND(ISNUMBER($V$57),$B$39=1),$V$57,HLOOKUP(INDIRECT(ADDRESS(2,COLUMN())),OFFSET($BN$2,0,0,ROW()-1,60),ROW()-1,FALSE))</f>
        <v>56.847000000000001</v>
      </c>
      <c r="W23">
        <f ca="1">IF(AND(ISNUMBER($W$57),$B$39=1),$W$57,HLOOKUP(INDIRECT(ADDRESS(2,COLUMN())),OFFSET($BN$2,0,0,ROW()-1,60),ROW()-1,FALSE))</f>
        <v>59.018000000000001</v>
      </c>
      <c r="X23">
        <f ca="1">IF(AND(ISNUMBER($X$57),$B$39=1),$X$57,HLOOKUP(INDIRECT(ADDRESS(2,COLUMN())),OFFSET($BN$2,0,0,ROW()-1,60),ROW()-1,FALSE))</f>
        <v>54.064</v>
      </c>
      <c r="Y23">
        <f ca="1">IF(AND(ISNUMBER($Y$57),$B$39=1),$Y$57,HLOOKUP(INDIRECT(ADDRESS(2,COLUMN())),OFFSET($BN$2,0,0,ROW()-1,60),ROW()-1,FALSE))</f>
        <v>29.068000000000001</v>
      </c>
      <c r="Z23">
        <f ca="1">IF(AND(ISNUMBER($Z$57),$B$39=1),$Z$57,HLOOKUP(INDIRECT(ADDRESS(2,COLUMN())),OFFSET($BN$2,0,0,ROW()-1,60),ROW()-1,FALSE))</f>
        <v>68.492999999999995</v>
      </c>
      <c r="AA23">
        <f ca="1">IF(AND(ISNUMBER($AA$57),$B$39=1),$AA$57,HLOOKUP(INDIRECT(ADDRESS(2,COLUMN())),OFFSET($BN$2,0,0,ROW()-1,60),ROW()-1,FALSE))</f>
        <v>46.146000000000001</v>
      </c>
      <c r="AB23">
        <f ca="1">IF(AND(ISNUMBER($AB$57),$B$39=1),$AB$57,HLOOKUP(INDIRECT(ADDRESS(2,COLUMN())),OFFSET($BN$2,0,0,ROW()-1,60),ROW()-1,FALSE))</f>
        <v>46.277999999999999</v>
      </c>
      <c r="AC23">
        <f ca="1">IF(AND(ISNUMBER($AC$57),$B$39=1),$AC$57,HLOOKUP(INDIRECT(ADDRESS(2,COLUMN())),OFFSET($BN$2,0,0,ROW()-1,60),ROW()-1,FALSE))</f>
        <v>40.051000000000002</v>
      </c>
      <c r="AD23">
        <f ca="1">IF(AND(ISNUMBER($AD$57),$B$39=1),$AD$57,HLOOKUP(INDIRECT(ADDRESS(2,COLUMN())),OFFSET($BN$2,0,0,ROW()-1,60),ROW()-1,FALSE))</f>
        <v>39.738</v>
      </c>
      <c r="AE23">
        <f ca="1">IF(AND(ISNUMBER($AE$57),$B$39=1),$AE$57,HLOOKUP(INDIRECT(ADDRESS(2,COLUMN())),OFFSET($BN$2,0,0,ROW()-1,60),ROW()-1,FALSE))</f>
        <v>38.472000000000001</v>
      </c>
      <c r="AF23">
        <f ca="1">IF(AND(ISNUMBER($AF$57),$B$39=1),$AF$57,HLOOKUP(INDIRECT(ADDRESS(2,COLUMN())),OFFSET($BN$2,0,0,ROW()-1,60),ROW()-1,FALSE))</f>
        <v>34.524999999999999</v>
      </c>
      <c r="AG23">
        <f ca="1">IF(AND(ISNUMBER($AG$57),$B$39=1),$AG$57,HLOOKUP(INDIRECT(ADDRESS(2,COLUMN())),OFFSET($BN$2,0,0,ROW()-1,60),ROW()-1,FALSE))</f>
        <v>31.641999999999999</v>
      </c>
      <c r="AH23">
        <f ca="1">IF(AND(ISNUMBER($AH$57),$B$39=1),$AH$57,HLOOKUP(INDIRECT(ADDRESS(2,COLUMN())),OFFSET($BN$2,0,0,ROW()-1,60),ROW()-1,FALSE))</f>
        <v>30.824999999999999</v>
      </c>
      <c r="AI23">
        <f ca="1">IF(AND(ISNUMBER($AI$57),$B$39=1),$AI$57,HLOOKUP(INDIRECT(ADDRESS(2,COLUMN())),OFFSET($BN$2,0,0,ROW()-1,60),ROW()-1,FALSE))</f>
        <v>30.477</v>
      </c>
      <c r="AJ23">
        <f ca="1">IF(AND(ISNUMBER($AJ$57),$B$39=1),$AJ$57,HLOOKUP(INDIRECT(ADDRESS(2,COLUMN())),OFFSET($BN$2,0,0,ROW()-1,60),ROW()-1,FALSE))</f>
        <v>30.225999999999999</v>
      </c>
      <c r="AK23">
        <f ca="1">IF(AND(ISNUMBER($AK$57),$B$39=1),$AK$57,HLOOKUP(INDIRECT(ADDRESS(2,COLUMN())),OFFSET($BN$2,0,0,ROW()-1,60),ROW()-1,FALSE))</f>
        <v>30.068000000000001</v>
      </c>
      <c r="AL23">
        <f ca="1">IF(AND(ISNUMBER($AL$57),$B$39=1),$AL$57,HLOOKUP(INDIRECT(ADDRESS(2,COLUMN())),OFFSET($BN$2,0,0,ROW()-1,60),ROW()-1,FALSE))</f>
        <v>29.989000000000001</v>
      </c>
      <c r="AM23">
        <f ca="1">IF(AND(ISNUMBER($AM$57),$B$39=1),$AM$57,HLOOKUP(INDIRECT(ADDRESS(2,COLUMN())),OFFSET($BN$2,0,0,ROW()-1,60),ROW()-1,FALSE))</f>
        <v>26.873999999999999</v>
      </c>
      <c r="AN23">
        <f ca="1">IF(AND(ISNUMBER($AN$57),$B$39=1),$AN$57,HLOOKUP(INDIRECT(ADDRESS(2,COLUMN())),OFFSET($BN$2,0,0,ROW()-1,60),ROW()-1,FALSE))</f>
        <v>26.78</v>
      </c>
      <c r="AO23">
        <f ca="1">IF(AND(ISNUMBER($AO$57),$B$39=1),$AO$57,HLOOKUP(INDIRECT(ADDRESS(2,COLUMN())),OFFSET($BN$2,0,0,ROW()-1,60),ROW()-1,FALSE))</f>
        <v>25.148</v>
      </c>
      <c r="AP23">
        <f ca="1">IF(AND(ISNUMBER($AP$57),$B$39=1),$AP$57,HLOOKUP(INDIRECT(ADDRESS(2,COLUMN())),OFFSET($BN$2,0,0,ROW()-1,60),ROW()-1,FALSE))</f>
        <v>25.122</v>
      </c>
      <c r="AQ23">
        <f ca="1">IF(AND(ISNUMBER($AQ$57),$B$39=1),$AQ$57,HLOOKUP(INDIRECT(ADDRESS(2,COLUMN())),OFFSET($BN$2,0,0,ROW()-1,60),ROW()-1,FALSE))</f>
        <v>27.817</v>
      </c>
      <c r="AR23">
        <f ca="1">IF(AND(ISNUMBER($AR$57),$B$39=1),$AR$57,HLOOKUP(INDIRECT(ADDRESS(2,COLUMN())),OFFSET($BN$2,0,0,ROW()-1,60),ROW()-1,FALSE))</f>
        <v>27.812999999999999</v>
      </c>
      <c r="AS23">
        <f ca="1">IF(AND(ISNUMBER($AS$57),$B$39=1),$AS$57,HLOOKUP(INDIRECT(ADDRESS(2,COLUMN())),OFFSET($BN$2,0,0,ROW()-1,60),ROW()-1,FALSE))</f>
        <v>26.943999999999999</v>
      </c>
      <c r="AT23">
        <f ca="1">IF(AND(ISNUMBER($AT$57),$B$39=1),$AT$57,HLOOKUP(INDIRECT(ADDRESS(2,COLUMN())),OFFSET($BN$2,0,0,ROW()-1,60),ROW()-1,FALSE))</f>
        <v>25.375499999999999</v>
      </c>
      <c r="AU23">
        <f ca="1">IF(AND(ISNUMBER($AU$57),$B$39=1),$AU$57,HLOOKUP(INDIRECT(ADDRESS(2,COLUMN())),OFFSET($BN$2,0,0,ROW()-1,60),ROW()-1,FALSE))</f>
        <v>26.411999999999999</v>
      </c>
      <c r="AV23">
        <f ca="1">IF(AND(ISNUMBER($AV$57),$B$39=1),$AV$57,HLOOKUP(INDIRECT(ADDRESS(2,COLUMN())),OFFSET($BN$2,0,0,ROW()-1,60),ROW()-1,FALSE))</f>
        <v>25.178000000000001</v>
      </c>
      <c r="AW23">
        <f ca="1">IF(AND(ISNUMBER($AW$57),$B$39=1),$AW$57,HLOOKUP(INDIRECT(ADDRESS(2,COLUMN())),OFFSET($BN$2,0,0,ROW()-1,60),ROW()-1,FALSE))</f>
        <v>22.763999999999999</v>
      </c>
      <c r="AX23">
        <f ca="1">IF(AND(ISNUMBER($AX$57),$B$39=1),$AX$57,HLOOKUP(INDIRECT(ADDRESS(2,COLUMN())),OFFSET($BN$2,0,0,ROW()-1,60),ROW()-1,FALSE))</f>
        <v>23.318000000000001</v>
      </c>
      <c r="AY23">
        <f ca="1">IF(AND(ISNUMBER($AY$57),$B$39=1),$AY$57,HLOOKUP(INDIRECT(ADDRESS(2,COLUMN())),OFFSET($BN$2,0,0,ROW()-1,60),ROW()-1,FALSE))</f>
        <v>23.266999999999999</v>
      </c>
      <c r="AZ23">
        <f ca="1">IF(AND(ISNUMBER($AZ$57),$B$39=1),$AZ$57,HLOOKUP(INDIRECT(ADDRESS(2,COLUMN())),OFFSET($BN$2,0,0,ROW()-1,60),ROW()-1,FALSE))</f>
        <v>24.161999999999999</v>
      </c>
      <c r="BA23">
        <f ca="1">IF(AND(ISNUMBER($BA$57),$B$39=1),$BA$57,HLOOKUP(INDIRECT(ADDRESS(2,COLUMN())),OFFSET($BN$2,0,0,ROW()-1,60),ROW()-1,FALSE))</f>
        <v>22.631</v>
      </c>
      <c r="BB23">
        <f ca="1">IF(AND(ISNUMBER($BB$57),$B$39=1),$BB$57,HLOOKUP(INDIRECT(ADDRESS(2,COLUMN())),OFFSET($BN$2,0,0,ROW()-1,60),ROW()-1,FALSE))</f>
        <v>25.571000000000002</v>
      </c>
      <c r="BC23">
        <f ca="1">IF(AND(ISNUMBER($BC$57),$B$39=1),$BC$57,HLOOKUP(INDIRECT(ADDRESS(2,COLUMN())),OFFSET($BN$2,0,0,ROW()-1,60),ROW()-1,FALSE))</f>
        <v>49.636000000000003</v>
      </c>
      <c r="BD23">
        <f ca="1">IF(AND(ISNUMBER($BD$57),$B$39=1),$BD$57,HLOOKUP(INDIRECT(ADDRESS(2,COLUMN())),OFFSET($BN$2,0,0,ROW()-1,60),ROW()-1,FALSE))</f>
        <v>37.493000000000002</v>
      </c>
      <c r="BE23">
        <f ca="1">IF(AND(ISNUMBER($BE$57),$B$39=1),$BE$57,HLOOKUP(INDIRECT(ADDRESS(2,COLUMN())),OFFSET($BN$2,0,0,ROW()-1,60),ROW()-1,FALSE))</f>
        <v>36.929000000000002</v>
      </c>
      <c r="BF23">
        <f ca="1">IF(AND(ISNUMBER($BF$57),$B$39=1),$BF$57,HLOOKUP(INDIRECT(ADDRESS(2,COLUMN())),OFFSET($BN$2,0,0,ROW()-1,60),ROW()-1,FALSE))</f>
        <v>35.61</v>
      </c>
      <c r="BG23">
        <f ca="1">IF(AND(ISNUMBER($BG$57),$B$39=1),$BG$57,HLOOKUP(INDIRECT(ADDRESS(2,COLUMN())),OFFSET($BN$2,0,0,ROW()-1,60),ROW()-1,FALSE))</f>
        <v>36.67</v>
      </c>
      <c r="BH23">
        <f ca="1">IF(AND(ISNUMBER($BH$57),$B$39=1),$BH$57,HLOOKUP(INDIRECT(ADDRESS(2,COLUMN())),OFFSET($BN$2,0,0,ROW()-1,60),ROW()-1,FALSE))</f>
        <v>28.972000000000001</v>
      </c>
      <c r="BI23">
        <f ca="1">IF(AND(ISNUMBER($BI$57),$B$39=1),$BI$57,HLOOKUP(INDIRECT(ADDRESS(2,COLUMN())),OFFSET($BN$2,0,0,ROW()-1,60),ROW()-1,FALSE))</f>
        <v>244.41499999999999</v>
      </c>
      <c r="BJ23">
        <f ca="1">IF(AND(ISNUMBER($BJ$57),$B$39=1),$BJ$57,HLOOKUP(INDIRECT(ADDRESS(2,COLUMN())),OFFSET($BN$2,0,0,ROW()-1,60),ROW()-1,FALSE))</f>
        <v>138.30000000000001</v>
      </c>
      <c r="BK23">
        <f ca="1">IF(AND(ISNUMBER($BK$57),$B$39=1),$BK$57,HLOOKUP(INDIRECT(ADDRESS(2,COLUMN())),OFFSET($BN$2,0,0,ROW()-1,60),ROW()-1,FALSE))</f>
        <v>32.573999999999998</v>
      </c>
      <c r="BL23">
        <f ca="1">IF(AND(ISNUMBER($BL$57),$B$39=1),$BL$57,HLOOKUP(INDIRECT(ADDRESS(2,COLUMN())),OFFSET($BN$2,0,0,ROW()-1,60),ROW()-1,FALSE))</f>
        <v>52.064</v>
      </c>
      <c r="BM23">
        <f ca="1">IF(AND(ISNUMBER($BM$57),$B$39=1),$BM$57,HLOOKUP(INDIRECT(ADDRESS(2,COLUMN())),OFFSET($BN$2,0,0,ROW()-1,60),ROW()-1,FALSE))</f>
        <v>50.768999999999998</v>
      </c>
      <c r="BN23">
        <f>118.3837682</f>
        <v>118.38376820000001</v>
      </c>
      <c r="BO23">
        <f>116.349</f>
        <v>116.349</v>
      </c>
      <c r="BP23">
        <f>111.682</f>
        <v>111.682</v>
      </c>
      <c r="BQ23">
        <f>104.362</f>
        <v>104.36199999999999</v>
      </c>
      <c r="BR23">
        <f>103.346</f>
        <v>103.346</v>
      </c>
      <c r="BS23">
        <f>101.015</f>
        <v>101.015</v>
      </c>
      <c r="BT23">
        <f>96.935</f>
        <v>96.935000000000002</v>
      </c>
      <c r="BU23">
        <f>88.196</f>
        <v>88.195999999999998</v>
      </c>
      <c r="BV23">
        <f>84.406</f>
        <v>84.406000000000006</v>
      </c>
      <c r="BW23">
        <f>84.595</f>
        <v>84.594999999999999</v>
      </c>
      <c r="BX23">
        <f>85.157</f>
        <v>85.156999999999996</v>
      </c>
      <c r="BY23">
        <f>76.41</f>
        <v>76.41</v>
      </c>
      <c r="BZ23">
        <f>73.113</f>
        <v>73.113</v>
      </c>
      <c r="CA23">
        <f>68.198</f>
        <v>68.197999999999993</v>
      </c>
      <c r="CB23">
        <f>67.542</f>
        <v>67.542000000000002</v>
      </c>
      <c r="CC23">
        <f>57.109</f>
        <v>57.109000000000002</v>
      </c>
      <c r="CD23">
        <f>56.847</f>
        <v>56.847000000000001</v>
      </c>
      <c r="CE23">
        <f>59.018</f>
        <v>59.018000000000001</v>
      </c>
      <c r="CF23">
        <f>54.064</f>
        <v>54.064</v>
      </c>
      <c r="CG23">
        <f>29.068</f>
        <v>29.068000000000001</v>
      </c>
      <c r="CH23">
        <f>68.493</f>
        <v>68.492999999999995</v>
      </c>
      <c r="CI23">
        <f>46.146</f>
        <v>46.146000000000001</v>
      </c>
      <c r="CJ23">
        <f>46.278</f>
        <v>46.277999999999999</v>
      </c>
      <c r="CK23">
        <f>40.051</f>
        <v>40.051000000000002</v>
      </c>
      <c r="CL23">
        <f>39.738</f>
        <v>39.738</v>
      </c>
      <c r="CM23">
        <f>38.472</f>
        <v>38.472000000000001</v>
      </c>
      <c r="CN23">
        <f>34.525</f>
        <v>34.524999999999999</v>
      </c>
      <c r="CO23">
        <f>31.642</f>
        <v>31.641999999999999</v>
      </c>
      <c r="CP23">
        <f>30.825</f>
        <v>30.824999999999999</v>
      </c>
      <c r="CQ23">
        <f>30.477</f>
        <v>30.477</v>
      </c>
      <c r="CR23">
        <f>30.226</f>
        <v>30.225999999999999</v>
      </c>
      <c r="CS23">
        <f>30.068</f>
        <v>30.068000000000001</v>
      </c>
      <c r="CT23">
        <f>29.989</f>
        <v>29.989000000000001</v>
      </c>
      <c r="CU23">
        <f>26.874</f>
        <v>26.873999999999999</v>
      </c>
      <c r="CV23">
        <f>26.78</f>
        <v>26.78</v>
      </c>
      <c r="CW23">
        <f>25.148</f>
        <v>25.148</v>
      </c>
      <c r="CX23">
        <f>25.122</f>
        <v>25.122</v>
      </c>
      <c r="CY23">
        <f>27.817</f>
        <v>27.817</v>
      </c>
      <c r="CZ23">
        <f>27.813</f>
        <v>27.812999999999999</v>
      </c>
      <c r="DA23">
        <f>26.944</f>
        <v>26.943999999999999</v>
      </c>
      <c r="DB23">
        <f>25.3755</f>
        <v>25.375499999999999</v>
      </c>
      <c r="DC23">
        <f>26.412</f>
        <v>26.411999999999999</v>
      </c>
      <c r="DD23">
        <f>25.178</f>
        <v>25.178000000000001</v>
      </c>
      <c r="DE23">
        <f>22.764</f>
        <v>22.763999999999999</v>
      </c>
      <c r="DF23">
        <f>23.318</f>
        <v>23.318000000000001</v>
      </c>
      <c r="DG23">
        <f>23.267</f>
        <v>23.266999999999999</v>
      </c>
      <c r="DH23">
        <f>24.162</f>
        <v>24.161999999999999</v>
      </c>
      <c r="DI23">
        <f>22.631</f>
        <v>22.631</v>
      </c>
      <c r="DJ23">
        <f>25.571</f>
        <v>25.571000000000002</v>
      </c>
      <c r="DK23">
        <f>49.636</f>
        <v>49.636000000000003</v>
      </c>
      <c r="DL23">
        <f>37.493</f>
        <v>37.493000000000002</v>
      </c>
      <c r="DM23">
        <f>36.929</f>
        <v>36.929000000000002</v>
      </c>
      <c r="DN23">
        <f>35.61</f>
        <v>35.61</v>
      </c>
      <c r="DO23">
        <f>36.67</f>
        <v>36.67</v>
      </c>
      <c r="DP23">
        <f>28.972</f>
        <v>28.972000000000001</v>
      </c>
      <c r="DQ23">
        <f>244.415</f>
        <v>244.41499999999999</v>
      </c>
      <c r="DR23">
        <f>138.3</f>
        <v>138.30000000000001</v>
      </c>
      <c r="DS23">
        <f>32.574</f>
        <v>32.573999999999998</v>
      </c>
      <c r="DT23">
        <f>52.064</f>
        <v>52.064</v>
      </c>
      <c r="DU23">
        <f>50.769</f>
        <v>50.768999999999998</v>
      </c>
    </row>
    <row r="24" spans="1:125"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  <c r="CI27" t="str">
        <f>""</f>
        <v/>
      </c>
      <c r="CJ27" t="str">
        <f>""</f>
        <v/>
      </c>
      <c r="CK27" t="str">
        <f>""</f>
        <v/>
      </c>
      <c r="CL27" t="str">
        <f>""</f>
        <v/>
      </c>
      <c r="CM27" t="str">
        <f>""</f>
        <v/>
      </c>
      <c r="CN27" t="str">
        <f>""</f>
        <v/>
      </c>
      <c r="CO27" t="str">
        <f>""</f>
        <v/>
      </c>
      <c r="CP27" t="str">
        <f>""</f>
        <v/>
      </c>
      <c r="CQ27" t="str">
        <f>""</f>
        <v/>
      </c>
      <c r="CR27" t="str">
        <f>""</f>
        <v/>
      </c>
      <c r="CS27" t="str">
        <f>""</f>
        <v/>
      </c>
      <c r="CT27" t="str">
        <f>""</f>
        <v/>
      </c>
      <c r="CU27" t="str">
        <f>""</f>
        <v/>
      </c>
      <c r="CV27" t="str">
        <f>""</f>
        <v/>
      </c>
      <c r="CW27" t="str">
        <f>""</f>
        <v/>
      </c>
      <c r="CX27" t="str">
        <f>""</f>
        <v/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 t="shared" ref="A31:AF31" si="6">"~~~~~~~~~~"</f>
        <v>~~~~~~~~~~</v>
      </c>
      <c r="B31" t="str">
        <f t="shared" si="6"/>
        <v>~~~~~~~~~~</v>
      </c>
      <c r="C31" t="str">
        <f t="shared" si="6"/>
        <v>~~~~~~~~~~</v>
      </c>
      <c r="D31" t="str">
        <f t="shared" si="6"/>
        <v>~~~~~~~~~~</v>
      </c>
      <c r="E31" t="str">
        <f t="shared" si="6"/>
        <v>~~~~~~~~~~</v>
      </c>
      <c r="F31" t="str">
        <f t="shared" si="6"/>
        <v>~~~~~~~~~~</v>
      </c>
      <c r="G31" t="str">
        <f t="shared" si="6"/>
        <v>~~~~~~~~~~</v>
      </c>
      <c r="H31" t="str">
        <f t="shared" si="6"/>
        <v>~~~~~~~~~~</v>
      </c>
      <c r="I31" t="str">
        <f t="shared" si="6"/>
        <v>~~~~~~~~~~</v>
      </c>
      <c r="J31" t="str">
        <f t="shared" si="6"/>
        <v>~~~~~~~~~~</v>
      </c>
      <c r="K31" t="str">
        <f t="shared" si="6"/>
        <v>~~~~~~~~~~</v>
      </c>
      <c r="L31" t="str">
        <f t="shared" si="6"/>
        <v>~~~~~~~~~~</v>
      </c>
      <c r="M31" t="str">
        <f t="shared" si="6"/>
        <v>~~~~~~~~~~</v>
      </c>
      <c r="N31" t="str">
        <f t="shared" si="6"/>
        <v>~~~~~~~~~~</v>
      </c>
      <c r="O31" t="str">
        <f t="shared" si="6"/>
        <v>~~~~~~~~~~</v>
      </c>
      <c r="P31" t="str">
        <f t="shared" si="6"/>
        <v>~~~~~~~~~~</v>
      </c>
      <c r="Q31" t="str">
        <f t="shared" si="6"/>
        <v>~~~~~~~~~~</v>
      </c>
      <c r="R31" t="str">
        <f t="shared" si="6"/>
        <v>~~~~~~~~~~</v>
      </c>
      <c r="S31" t="str">
        <f t="shared" si="6"/>
        <v>~~~~~~~~~~</v>
      </c>
      <c r="T31" t="str">
        <f t="shared" si="6"/>
        <v>~~~~~~~~~~</v>
      </c>
      <c r="U31" t="str">
        <f t="shared" si="6"/>
        <v>~~~~~~~~~~</v>
      </c>
      <c r="V31" t="str">
        <f t="shared" si="6"/>
        <v>~~~~~~~~~~</v>
      </c>
      <c r="W31" t="str">
        <f t="shared" si="6"/>
        <v>~~~~~~~~~~</v>
      </c>
      <c r="X31" t="str">
        <f t="shared" si="6"/>
        <v>~~~~~~~~~~</v>
      </c>
      <c r="Y31" t="str">
        <f t="shared" si="6"/>
        <v>~~~~~~~~~~</v>
      </c>
      <c r="Z31" t="str">
        <f t="shared" si="6"/>
        <v>~~~~~~~~~~</v>
      </c>
      <c r="AA31" t="str">
        <f t="shared" si="6"/>
        <v>~~~~~~~~~~</v>
      </c>
      <c r="AB31" t="str">
        <f t="shared" si="6"/>
        <v>~~~~~~~~~~</v>
      </c>
      <c r="AC31" t="str">
        <f t="shared" si="6"/>
        <v>~~~~~~~~~~</v>
      </c>
      <c r="AD31" t="str">
        <f t="shared" si="6"/>
        <v>~~~~~~~~~~</v>
      </c>
      <c r="AE31" t="str">
        <f t="shared" si="6"/>
        <v>~~~~~~~~~~</v>
      </c>
      <c r="AF31" t="str">
        <f t="shared" si="6"/>
        <v>~~~~~~~~~~</v>
      </c>
      <c r="AG31" t="str">
        <f t="shared" ref="AG31:BM31" si="7">"~~~~~~~~~~"</f>
        <v>~~~~~~~~~~</v>
      </c>
      <c r="AH31" t="str">
        <f t="shared" si="7"/>
        <v>~~~~~~~~~~</v>
      </c>
      <c r="AI31" t="str">
        <f t="shared" si="7"/>
        <v>~~~~~~~~~~</v>
      </c>
      <c r="AJ31" t="str">
        <f t="shared" si="7"/>
        <v>~~~~~~~~~~</v>
      </c>
      <c r="AK31" t="str">
        <f t="shared" si="7"/>
        <v>~~~~~~~~~~</v>
      </c>
      <c r="AL31" t="str">
        <f t="shared" si="7"/>
        <v>~~~~~~~~~~</v>
      </c>
      <c r="AM31" t="str">
        <f t="shared" si="7"/>
        <v>~~~~~~~~~~</v>
      </c>
      <c r="AN31" t="str">
        <f t="shared" si="7"/>
        <v>~~~~~~~~~~</v>
      </c>
      <c r="AO31" t="str">
        <f t="shared" si="7"/>
        <v>~~~~~~~~~~</v>
      </c>
      <c r="AP31" t="str">
        <f t="shared" si="7"/>
        <v>~~~~~~~~~~</v>
      </c>
      <c r="AQ31" t="str">
        <f t="shared" si="7"/>
        <v>~~~~~~~~~~</v>
      </c>
      <c r="AR31" t="str">
        <f t="shared" si="7"/>
        <v>~~~~~~~~~~</v>
      </c>
      <c r="AS31" t="str">
        <f t="shared" si="7"/>
        <v>~~~~~~~~~~</v>
      </c>
      <c r="AT31" t="str">
        <f t="shared" si="7"/>
        <v>~~~~~~~~~~</v>
      </c>
      <c r="AU31" t="str">
        <f t="shared" si="7"/>
        <v>~~~~~~~~~~</v>
      </c>
      <c r="AV31" t="str">
        <f t="shared" si="7"/>
        <v>~~~~~~~~~~</v>
      </c>
      <c r="AW31" t="str">
        <f t="shared" si="7"/>
        <v>~~~~~~~~~~</v>
      </c>
      <c r="AX31" t="str">
        <f t="shared" si="7"/>
        <v>~~~~~~~~~~</v>
      </c>
      <c r="AY31" t="str">
        <f t="shared" si="7"/>
        <v>~~~~~~~~~~</v>
      </c>
      <c r="AZ31" t="str">
        <f t="shared" si="7"/>
        <v>~~~~~~~~~~</v>
      </c>
      <c r="BA31" t="str">
        <f t="shared" si="7"/>
        <v>~~~~~~~~~~</v>
      </c>
      <c r="BB31" t="str">
        <f t="shared" si="7"/>
        <v>~~~~~~~~~~</v>
      </c>
      <c r="BC31" t="str">
        <f t="shared" si="7"/>
        <v>~~~~~~~~~~</v>
      </c>
      <c r="BD31" t="str">
        <f t="shared" si="7"/>
        <v>~~~~~~~~~~</v>
      </c>
      <c r="BE31" t="str">
        <f t="shared" si="7"/>
        <v>~~~~~~~~~~</v>
      </c>
      <c r="BF31" t="str">
        <f t="shared" si="7"/>
        <v>~~~~~~~~~~</v>
      </c>
      <c r="BG31" t="str">
        <f t="shared" si="7"/>
        <v>~~~~~~~~~~</v>
      </c>
      <c r="BH31" t="str">
        <f t="shared" si="7"/>
        <v>~~~~~~~~~~</v>
      </c>
      <c r="BI31" t="str">
        <f t="shared" si="7"/>
        <v>~~~~~~~~~~</v>
      </c>
      <c r="BJ31" t="str">
        <f t="shared" si="7"/>
        <v>~~~~~~~~~~</v>
      </c>
      <c r="BK31" t="str">
        <f t="shared" si="7"/>
        <v>~~~~~~~~~~</v>
      </c>
      <c r="BL31" t="str">
        <f t="shared" si="7"/>
        <v>~~~~~~~~~~</v>
      </c>
      <c r="BM31" t="str">
        <f t="shared" si="7"/>
        <v>~~~~~~~~~~</v>
      </c>
      <c r="BN31" t="str">
        <f>""</f>
        <v/>
      </c>
      <c r="BO31" t="str">
        <f>""</f>
        <v/>
      </c>
      <c r="BP31" t="str">
        <f>""</f>
        <v/>
      </c>
      <c r="BQ31" t="str">
        <f>""</f>
        <v/>
      </c>
      <c r="BR31" t="str">
        <f>""</f>
        <v/>
      </c>
      <c r="BS31" t="str">
        <f>""</f>
        <v/>
      </c>
      <c r="BT31" t="str">
        <f>""</f>
        <v/>
      </c>
      <c r="BU31" t="str">
        <f>""</f>
        <v/>
      </c>
      <c r="BV31" t="str">
        <f>""</f>
        <v/>
      </c>
      <c r="BW31" t="str">
        <f>""</f>
        <v/>
      </c>
      <c r="BX31" t="str">
        <f>""</f>
        <v/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  <c r="CH31" t="str">
        <f>""</f>
        <v/>
      </c>
      <c r="CI31" t="str">
        <f>""</f>
        <v/>
      </c>
      <c r="CJ31" t="str">
        <f>""</f>
        <v/>
      </c>
      <c r="CK31" t="str">
        <f>""</f>
        <v/>
      </c>
      <c r="CL31" t="str">
        <f>""</f>
        <v/>
      </c>
      <c r="CM31" t="str">
        <f>""</f>
        <v/>
      </c>
      <c r="CN31" t="str">
        <f>""</f>
        <v/>
      </c>
      <c r="CO31" t="str">
        <f>""</f>
        <v/>
      </c>
      <c r="CP31" t="str">
        <f>""</f>
        <v/>
      </c>
      <c r="CQ31" t="str">
        <f>""</f>
        <v/>
      </c>
      <c r="CR31" t="str">
        <f>""</f>
        <v/>
      </c>
      <c r="CS31" t="str">
        <f>""</f>
        <v/>
      </c>
      <c r="CT31" t="str">
        <f>""</f>
        <v/>
      </c>
      <c r="CU31" t="str">
        <f>""</f>
        <v/>
      </c>
      <c r="CV31" t="str">
        <f>""</f>
        <v/>
      </c>
      <c r="CW31" t="str">
        <f>""</f>
        <v/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A32" t="str">
        <f>"通过上面公式行而添加下列所有数据行以供参考之用。"</f>
        <v>通过上面公式行而添加下列所有数据行以供参考之用。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>
        <f>RTD("bloomberg.ccyreader", "", "#track", "DBG", "BIHITX", "1.0","RepeatHit")</f>
        <v>0</v>
      </c>
      <c r="BN33" t="str">
        <f>""</f>
        <v/>
      </c>
      <c r="BO33" t="str">
        <f>""</f>
        <v/>
      </c>
      <c r="BP33" t="str">
        <f>""</f>
        <v/>
      </c>
      <c r="BQ33" t="str">
        <f>""</f>
        <v/>
      </c>
      <c r="BR33" t="str">
        <f>""</f>
        <v/>
      </c>
      <c r="BS33" t="str">
        <f>""</f>
        <v/>
      </c>
      <c r="BT33" t="str">
        <f>""</f>
        <v/>
      </c>
      <c r="BU33" t="str">
        <f>""</f>
        <v/>
      </c>
      <c r="BV33" t="str">
        <f>""</f>
        <v/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  <c r="CH33" t="str">
        <f>""</f>
        <v/>
      </c>
      <c r="CI33" t="str">
        <f>""</f>
        <v/>
      </c>
      <c r="CJ33" t="str">
        <f>""</f>
        <v/>
      </c>
      <c r="CK33" t="str">
        <f>""</f>
        <v/>
      </c>
      <c r="CL33" t="str">
        <f>""</f>
        <v/>
      </c>
      <c r="CM33" t="str">
        <f>""</f>
        <v/>
      </c>
      <c r="CN33" t="str">
        <f>""</f>
        <v/>
      </c>
      <c r="CO33" t="str">
        <f>""</f>
        <v/>
      </c>
      <c r="CP33" t="str">
        <f>""</f>
        <v/>
      </c>
      <c r="CQ33" t="str">
        <f>""</f>
        <v/>
      </c>
      <c r="CR33" t="str">
        <f>""</f>
        <v/>
      </c>
      <c r="CS33" t="str">
        <f>""</f>
        <v/>
      </c>
      <c r="CT33" t="str">
        <f>""</f>
        <v/>
      </c>
      <c r="CU33" t="str">
        <f>""</f>
        <v/>
      </c>
      <c r="CV33" t="str">
        <f>""</f>
        <v/>
      </c>
      <c r="CW33" t="str">
        <f>""</f>
        <v/>
      </c>
      <c r="CX33" t="str">
        <f>""</f>
        <v/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"货币"</f>
        <v>货币</v>
      </c>
      <c r="B34" t="str">
        <f>"USD"</f>
        <v>USD</v>
      </c>
      <c r="BN34" t="str">
        <f>""</f>
        <v/>
      </c>
      <c r="BO34" t="str">
        <f>""</f>
        <v/>
      </c>
      <c r="BP34" t="str">
        <f>""</f>
        <v/>
      </c>
      <c r="BQ34" t="str">
        <f>""</f>
        <v/>
      </c>
      <c r="BR34" t="str">
        <f>""</f>
        <v/>
      </c>
      <c r="BS34" t="str">
        <f>""</f>
        <v/>
      </c>
      <c r="BT34" t="str">
        <f>""</f>
        <v/>
      </c>
      <c r="BU34" t="str">
        <f>""</f>
        <v/>
      </c>
      <c r="BV34" t="str">
        <f>""</f>
        <v/>
      </c>
      <c r="BW34" t="str">
        <f>""</f>
        <v/>
      </c>
      <c r="BX34" t="str">
        <f>""</f>
        <v/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  <c r="CH34" t="str">
        <f>""</f>
        <v/>
      </c>
      <c r="CI34" t="str">
        <f>""</f>
        <v/>
      </c>
      <c r="CJ34" t="str">
        <f>""</f>
        <v/>
      </c>
      <c r="CK34" t="str">
        <f>""</f>
        <v/>
      </c>
      <c r="CL34" t="str">
        <f>""</f>
        <v/>
      </c>
      <c r="CM34" t="str">
        <f>""</f>
        <v/>
      </c>
      <c r="CN34" t="str">
        <f>""</f>
        <v/>
      </c>
      <c r="CO34" t="str">
        <f>""</f>
        <v/>
      </c>
      <c r="CP34" t="str">
        <f>""</f>
        <v/>
      </c>
      <c r="CQ34" t="str">
        <f>""</f>
        <v/>
      </c>
      <c r="CR34" t="str">
        <f>""</f>
        <v/>
      </c>
      <c r="CS34" t="str">
        <f>""</f>
        <v/>
      </c>
      <c r="CT34" t="str">
        <f>""</f>
        <v/>
      </c>
      <c r="CU34" t="str">
        <f>""</f>
        <v/>
      </c>
      <c r="CV34" t="str">
        <f>""</f>
        <v/>
      </c>
      <c r="CW34" t="str">
        <f>""</f>
        <v/>
      </c>
      <c r="CX34" t="str">
        <f>""</f>
        <v/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"周期"</f>
        <v>周期</v>
      </c>
      <c r="B35" t="str">
        <f>"CQ"</f>
        <v>CQ</v>
      </c>
      <c r="C35" t="str">
        <f>"AQ"</f>
        <v>AQ</v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"周期数"</f>
        <v>周期数</v>
      </c>
      <c r="B36">
        <f>60</f>
        <v>60</v>
      </c>
      <c r="BN36" t="str">
        <f>""</f>
        <v/>
      </c>
      <c r="BO36" t="str">
        <f>""</f>
        <v/>
      </c>
      <c r="BP36" t="str">
        <f>""</f>
        <v/>
      </c>
      <c r="BQ36" t="str">
        <f>""</f>
        <v/>
      </c>
      <c r="BR36" t="str">
        <f>""</f>
        <v/>
      </c>
      <c r="BS36" t="str">
        <f>""</f>
        <v/>
      </c>
      <c r="BT36" t="str">
        <f>""</f>
        <v/>
      </c>
      <c r="BU36" t="str">
        <f>""</f>
        <v/>
      </c>
      <c r="BV36" t="str">
        <f>""</f>
        <v/>
      </c>
      <c r="BW36" t="str">
        <f>""</f>
        <v/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  <c r="CI36" t="str">
        <f>""</f>
        <v/>
      </c>
      <c r="CJ36" t="str">
        <f>""</f>
        <v/>
      </c>
      <c r="CK36" t="str">
        <f>""</f>
        <v/>
      </c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"起始日期"</f>
        <v>起始日期</v>
      </c>
      <c r="B37" t="str">
        <f>CONCATENATE("-",$B$36,$B$35)</f>
        <v>-60CQ</v>
      </c>
      <c r="C37" t="str">
        <f>CONCATENATE("-",$B$36,$C$35)</f>
        <v>-60AQ</v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  <c r="CH37" t="str">
        <f>""</f>
        <v/>
      </c>
      <c r="CI37" t="str">
        <f>""</f>
        <v/>
      </c>
      <c r="CJ37" t="str">
        <f>""</f>
        <v/>
      </c>
      <c r="CK37" t="str">
        <f>""</f>
        <v/>
      </c>
      <c r="CL37" t="str">
        <f>""</f>
        <v/>
      </c>
      <c r="CM37" t="str">
        <f>""</f>
        <v/>
      </c>
      <c r="CN37" t="str">
        <f>""</f>
        <v/>
      </c>
      <c r="CO37" t="str">
        <f>""</f>
        <v/>
      </c>
      <c r="CP37" t="str">
        <f>""</f>
        <v/>
      </c>
      <c r="CQ37" t="str">
        <f>""</f>
        <v/>
      </c>
      <c r="CR37" t="str">
        <f>""</f>
        <v/>
      </c>
      <c r="CS37" t="str">
        <f>""</f>
        <v/>
      </c>
      <c r="CT37" t="str">
        <f>""</f>
        <v/>
      </c>
      <c r="CU37" t="str">
        <f>""</f>
        <v/>
      </c>
      <c r="CV37" t="str">
        <f>""</f>
        <v/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>
      <c r="A38" t="str">
        <f>"End Date"</f>
        <v>End Date</v>
      </c>
      <c r="B38">
        <f ca="1">TODAY()</f>
        <v>43173</v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A39" t="str">
        <f>"HeaderStatus"</f>
        <v>HeaderStatus</v>
      </c>
      <c r="B39">
        <f ca="1">$B$77*$B$85</f>
        <v>4</v>
      </c>
      <c r="BN39" t="str">
        <f>""</f>
        <v/>
      </c>
      <c r="BO39" t="str">
        <f>""</f>
        <v/>
      </c>
      <c r="BP39" t="str">
        <f>""</f>
        <v/>
      </c>
      <c r="BQ39" t="str">
        <f>""</f>
        <v/>
      </c>
      <c r="BR39" t="str">
        <f>""</f>
        <v/>
      </c>
      <c r="BS39" t="str">
        <f>""</f>
        <v/>
      </c>
      <c r="BT39" t="str">
        <f>""</f>
        <v/>
      </c>
      <c r="BU39" t="str">
        <f>""</f>
        <v/>
      </c>
      <c r="BV39" t="str">
        <f>""</f>
        <v/>
      </c>
      <c r="BW39" t="str">
        <f>""</f>
        <v/>
      </c>
      <c r="BX39" t="str">
        <f>""</f>
        <v/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  <c r="CI39" t="str">
        <f>""</f>
        <v/>
      </c>
      <c r="CJ39" t="str">
        <f>""</f>
        <v/>
      </c>
      <c r="CK39" t="str">
        <f>""</f>
        <v/>
      </c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>
      <c r="BN40" t="str">
        <f>""</f>
        <v/>
      </c>
      <c r="BO40" t="str">
        <f>""</f>
        <v/>
      </c>
      <c r="BP40" t="str">
        <f>""</f>
        <v/>
      </c>
      <c r="BQ40" t="str">
        <f>""</f>
        <v/>
      </c>
      <c r="BR40" t="str">
        <f>""</f>
        <v/>
      </c>
      <c r="BS40" t="str">
        <f>""</f>
        <v/>
      </c>
      <c r="BT40" t="str">
        <f>""</f>
        <v/>
      </c>
      <c r="BU40" t="str">
        <f>""</f>
        <v/>
      </c>
      <c r="BV40" t="str">
        <f>""</f>
        <v/>
      </c>
      <c r="BW40" t="str">
        <f>""</f>
        <v/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  <c r="CI40" t="str">
        <f>""</f>
        <v/>
      </c>
      <c r="CJ40" t="str">
        <f>""</f>
        <v/>
      </c>
      <c r="CK40" t="str">
        <f>""</f>
        <v/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>
      <c r="A41" t="str">
        <f>$A$4</f>
        <v>住宅房地产投资信托数据 - 住宅房地产投资信托总营运现金流</v>
      </c>
      <c r="B41" t="str">
        <f>$B$4</f>
        <v>RECFFORS Index</v>
      </c>
      <c r="C41" t="str">
        <f>$C$4</f>
        <v>PR005</v>
      </c>
      <c r="D41" t="str">
        <f>$D$4</f>
        <v>PX_LAST</v>
      </c>
      <c r="E41" t="str">
        <f>$E$4</f>
        <v>动态</v>
      </c>
      <c r="F41" t="str">
        <f ca="1">BDH($B$4,$C$4,$B$37,$B$38,CONCATENATE("Per=",$B$35),"Dts=H","Dir=H",CONCATENATE("Points=",$B$36),"Sort=R","Days=A","Fill=B",CONCATENATE("FX=", $B$34) )</f>
        <v>#N/A Authorization</v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  <c r="BT41" t="str">
        <f>""</f>
        <v/>
      </c>
      <c r="BU41" t="str">
        <f>""</f>
        <v/>
      </c>
      <c r="BV41" t="str">
        <f>""</f>
        <v/>
      </c>
      <c r="BW41" t="str">
        <f>""</f>
        <v/>
      </c>
      <c r="BX41" t="str">
        <f>""</f>
        <v/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>
      <c r="A42" t="str">
        <f>$A$5</f>
        <v>住宅房地产投资信托数据 - 住宅房地产投资信托净营业利润</v>
      </c>
      <c r="B42" t="str">
        <f>$B$5</f>
        <v>RECFNORS Index</v>
      </c>
      <c r="C42" t="str">
        <f>$C$5</f>
        <v>PR005</v>
      </c>
      <c r="D42" t="str">
        <f>$D$5</f>
        <v>PX_LAST</v>
      </c>
      <c r="E42" t="str">
        <f>$E$5</f>
        <v>动态</v>
      </c>
      <c r="F42" t="str">
        <f ca="1">BDH($B$5,$C$5,$B$37,$B$38,CONCATENATE("Per=",$B$35),"Dts=H","Dir=H",CONCATENATE("Points=",$B$36),"Sort=R","Days=A","Fill=B",CONCATENATE("FX=", $B$34) )</f>
        <v>#N/A Authorization</v>
      </c>
      <c r="BN42" t="str">
        <f>""</f>
        <v/>
      </c>
      <c r="BO42" t="str">
        <f>""</f>
        <v/>
      </c>
      <c r="BP42" t="str">
        <f>""</f>
        <v/>
      </c>
      <c r="BQ42" t="str">
        <f>""</f>
        <v/>
      </c>
      <c r="BR42" t="str">
        <f>""</f>
        <v/>
      </c>
      <c r="BS42" t="str">
        <f>""</f>
        <v/>
      </c>
      <c r="BT42" t="str">
        <f>""</f>
        <v/>
      </c>
      <c r="BU42" t="str">
        <f>""</f>
        <v/>
      </c>
      <c r="BV42" t="str">
        <f>""</f>
        <v/>
      </c>
      <c r="BW42" t="str">
        <f>""</f>
        <v/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  <c r="CI42" t="str">
        <f>""</f>
        <v/>
      </c>
      <c r="CJ42" t="str">
        <f>""</f>
        <v/>
      </c>
      <c r="CK42" t="str">
        <f>""</f>
        <v/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>
      <c r="A43" t="str">
        <f>$A$6</f>
        <v>住宅房地产投资信托数据 - 住宅房地产投资信托同店净营业利润增长</v>
      </c>
      <c r="B43" t="str">
        <f>$B$6</f>
        <v>RECFSSRS Index</v>
      </c>
      <c r="C43" t="str">
        <f>$C$6</f>
        <v>PR005</v>
      </c>
      <c r="D43" t="str">
        <f>$D$6</f>
        <v>PX_LAST</v>
      </c>
      <c r="E43" t="str">
        <f>$E$6</f>
        <v>动态</v>
      </c>
      <c r="F43" t="str">
        <f ca="1">BDH($B$6,$C$6,$B$37,$B$38,CONCATENATE("Per=",$B$35),"Dts=H","Dir=H",CONCATENATE("Points=",$B$36),"Sort=R","Days=A","Fill=B",CONCATENATE("FX=", $B$34) )</f>
        <v>#N/A Authorization</v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>
      <c r="A44" t="str">
        <f>$A$7</f>
        <v>住宅房地产投资信托数据 - 住宅房地产投资信托总股利支付</v>
      </c>
      <c r="B44" t="str">
        <f>$B$7</f>
        <v>RECFTDRS Index</v>
      </c>
      <c r="C44" t="str">
        <f>$C$7</f>
        <v>PR005</v>
      </c>
      <c r="D44" t="str">
        <f>$D$7</f>
        <v>PX_LAST</v>
      </c>
      <c r="E44" t="str">
        <f>$E$7</f>
        <v>动态</v>
      </c>
      <c r="F44" t="str">
        <f ca="1">BDH($B$7,$C$7,$B$37,$B$38,CONCATENATE("Per=",$B$35),"Dts=H","Dir=H",CONCATENATE("Points=",$B$36),"Sort=R","Days=A","Fill=B",CONCATENATE("FX=", $B$34) )</f>
        <v>#N/A Authorization</v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$A$9</f>
        <v xml:space="preserve">    公寓房地产投资信托总营运现金流</v>
      </c>
      <c r="B45" t="str">
        <f>$B$9</f>
        <v>RECFFOAP Index</v>
      </c>
      <c r="C45" t="str">
        <f>$C$9</f>
        <v>PR005</v>
      </c>
      <c r="D45" t="str">
        <f>$D$9</f>
        <v>PX_LAST</v>
      </c>
      <c r="E45" t="str">
        <f>$E$9</f>
        <v>动态</v>
      </c>
      <c r="F45" t="str">
        <f ca="1">BDH($B$9,$C$9,$B$37,$B$38,CONCATENATE("Per=",$B$35),"Dts=H","Dir=H",CONCATENATE("Points=",$B$36),"Sort=R","Days=A","Fill=B",CONCATENATE("FX=", $B$34) )</f>
        <v>#N/A Authorization</v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>
      <c r="A46" t="str">
        <f>$A$10</f>
        <v xml:space="preserve">    公寓房地产投资信托净营业利润</v>
      </c>
      <c r="B46" t="str">
        <f>$B$10</f>
        <v>RECFNOAP Index</v>
      </c>
      <c r="C46" t="str">
        <f>$C$10</f>
        <v>PR005</v>
      </c>
      <c r="D46" t="str">
        <f>$D$10</f>
        <v>PX_LAST</v>
      </c>
      <c r="E46" t="str">
        <f>$E$10</f>
        <v>动态</v>
      </c>
      <c r="F46" t="str">
        <f ca="1">BDH($B$10,$C$10,$B$37,$B$38,CONCATENATE("Per=",$B$35),"Dts=H","Dir=H",CONCATENATE("Points=",$B$36),"Sort=R","Days=A","Fill=B",CONCATENATE("FX=", $B$34) )</f>
        <v>#N/A Authorization</v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  <c r="CI46" t="str">
        <f>""</f>
        <v/>
      </c>
      <c r="CJ46" t="str">
        <f>""</f>
        <v/>
      </c>
      <c r="CK46" t="str">
        <f>""</f>
        <v/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</row>
    <row r="47" spans="1:125">
      <c r="A47" t="str">
        <f>$A$11</f>
        <v xml:space="preserve">    公寓房地产投资信托同店净营业利润增长</v>
      </c>
      <c r="B47" t="str">
        <f>$B$11</f>
        <v>RECFSSAP Index</v>
      </c>
      <c r="C47" t="str">
        <f>$C$11</f>
        <v>PR005</v>
      </c>
      <c r="D47" t="str">
        <f>$D$11</f>
        <v>PX_LAST</v>
      </c>
      <c r="E47" t="str">
        <f>$E$11</f>
        <v>动态</v>
      </c>
      <c r="F47" t="str">
        <f ca="1">BDH($B$11,$C$11,$B$37,$B$38,CONCATENATE("Per=",$B$35),"Dts=H","Dir=H",CONCATENATE("Points=",$B$36),"Sort=R","Days=A","Fill=B",CONCATENATE("FX=", $B$34) )</f>
        <v>#N/A Authorization</v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 t="str">
        <f>""</f>
        <v/>
      </c>
      <c r="CK47" t="str">
        <f>""</f>
        <v/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>
      <c r="A48" t="str">
        <f>$A$12</f>
        <v xml:space="preserve">    公寓房地产投资信托总股利支付</v>
      </c>
      <c r="B48" t="str">
        <f>$B$12</f>
        <v>RECFTDAP Index</v>
      </c>
      <c r="C48" t="str">
        <f>$C$12</f>
        <v>PR005</v>
      </c>
      <c r="D48" t="str">
        <f>$D$12</f>
        <v>PX_LAST</v>
      </c>
      <c r="E48" t="str">
        <f>$E$12</f>
        <v>动态</v>
      </c>
      <c r="F48" t="str">
        <f ca="1">BDH($B$12,$C$12,$B$37,$B$38,CONCATENATE("Per=",$B$35),"Dts=H","Dir=H",CONCATENATE("Points=",$B$36),"Sort=R","Days=A","Fill=B",CONCATENATE("FX=", $B$34) )</f>
        <v>#N/A Authorization</v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  <c r="CI48" t="str">
        <f>""</f>
        <v/>
      </c>
      <c r="CJ48" t="str">
        <f>""</f>
        <v/>
      </c>
      <c r="CK48" t="str">
        <f>""</f>
        <v/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</row>
    <row r="49" spans="1:125">
      <c r="A49" t="str">
        <f>$A$13</f>
        <v xml:space="preserve">    公寓房地产投资信托平均入住率</v>
      </c>
      <c r="B49" t="str">
        <f>$B$13</f>
        <v>RECFAVAP Index</v>
      </c>
      <c r="C49" t="str">
        <f>$C$13</f>
        <v>PR005</v>
      </c>
      <c r="D49" t="str">
        <f>$D$13</f>
        <v>PX_LAST</v>
      </c>
      <c r="E49" t="str">
        <f>$E$13</f>
        <v>动态</v>
      </c>
      <c r="F49" t="str">
        <f ca="1">BDH($B$13,$C$13,$B$37,$B$38,CONCATENATE("Per=",$B$35),"Dts=H","Dir=H",CONCATENATE("Points=",$B$36),"Sort=R","Days=A","Fill=B",CONCATENATE("FX=", $B$34) )</f>
        <v>#N/A Authorization</v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  <c r="CI49" t="str">
        <f>""</f>
        <v/>
      </c>
      <c r="CJ49" t="str">
        <f>""</f>
        <v/>
      </c>
      <c r="CK49" t="str">
        <f>""</f>
        <v/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>
      <c r="A50" t="str">
        <f>$A$15</f>
        <v xml:space="preserve">    独栋住宅房地产投资信托总营运现金流</v>
      </c>
      <c r="B50" t="str">
        <f>$B$15</f>
        <v>RECFFOSF Index</v>
      </c>
      <c r="C50" t="str">
        <f>$C$15</f>
        <v>PR005</v>
      </c>
      <c r="D50" t="str">
        <f>$D$15</f>
        <v>PX_LAST</v>
      </c>
      <c r="E50" t="str">
        <f>$E$15</f>
        <v>动态</v>
      </c>
      <c r="F50" t="str">
        <f ca="1">BDH($B$15,$C$15,$B$37,$B$38,CONCATENATE("Per=",$B$35),"Dts=H","Dir=H",CONCATENATE("Points=",$B$36),"Sort=R","Days=A","Fill=B",CONCATENATE("FX=", $B$34) )</f>
        <v>#N/A Authorization</v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  <c r="CI50" t="str">
        <f>""</f>
        <v/>
      </c>
      <c r="CJ50" t="str">
        <f>""</f>
        <v/>
      </c>
      <c r="CK50" t="str">
        <f>""</f>
        <v/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</row>
    <row r="51" spans="1:125">
      <c r="A51" t="str">
        <f>$A$16</f>
        <v xml:space="preserve">    独栋住宅房地产投资信托净营业利润</v>
      </c>
      <c r="B51" t="str">
        <f>$B$16</f>
        <v>RECFNOSF Index</v>
      </c>
      <c r="C51" t="str">
        <f>$C$16</f>
        <v>PR005</v>
      </c>
      <c r="D51" t="str">
        <f>$D$16</f>
        <v>PX_LAST</v>
      </c>
      <c r="E51" t="str">
        <f>$E$16</f>
        <v>动态</v>
      </c>
      <c r="F51" t="str">
        <f ca="1">BDH($B$16,$C$16,$B$37,$B$38,CONCATENATE("Per=",$B$35),"Dts=H","Dir=H",CONCATENATE("Points=",$B$36),"Sort=R","Days=A","Fill=B",CONCATENATE("FX=", $B$34) )</f>
        <v>#N/A Authorization</v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>
      <c r="A52" t="str">
        <f>$A$17</f>
        <v xml:space="preserve">    独栋住宅房地产投资信托同店净营业利润增长</v>
      </c>
      <c r="B52" t="str">
        <f>$B$17</f>
        <v>RECFSSSF Index</v>
      </c>
      <c r="C52" t="str">
        <f>$C$17</f>
        <v>PR005</v>
      </c>
      <c r="D52" t="str">
        <f>$D$17</f>
        <v>PX_LAST</v>
      </c>
      <c r="E52" t="str">
        <f>$E$17</f>
        <v>动态</v>
      </c>
      <c r="F52" t="str">
        <f ca="1">BDH($B$17,$C$17,$B$37,$B$38,CONCATENATE("Per=",$B$35),"Dts=H","Dir=H",CONCATENATE("Points=",$B$36),"Sort=R","Days=A","Fill=B",CONCATENATE("FX=", $B$34) )</f>
        <v>#N/A Authorization</v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  <c r="CI52" t="str">
        <f>""</f>
        <v/>
      </c>
      <c r="CJ52" t="str">
        <f>""</f>
        <v/>
      </c>
      <c r="CK52" t="str">
        <f>""</f>
        <v/>
      </c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>
      <c r="A53" t="str">
        <f>$A$18</f>
        <v xml:space="preserve">    独栋住宅房地产投资信托总股利支付</v>
      </c>
      <c r="B53" t="str">
        <f>$B$18</f>
        <v>RECFTDSF Index</v>
      </c>
      <c r="C53" t="str">
        <f>$C$18</f>
        <v>PR005</v>
      </c>
      <c r="D53" t="str">
        <f>$D$18</f>
        <v>PX_LAST</v>
      </c>
      <c r="E53" t="str">
        <f>$E$18</f>
        <v>动态</v>
      </c>
      <c r="F53" t="str">
        <f ca="1">BDH($B$18,$C$18,$B$37,$B$38,CONCATENATE("Per=",$B$35),"Dts=H","Dir=H",CONCATENATE("Points=",$B$36),"Sort=R","Days=A","Fill=B",CONCATENATE("FX=", $B$34) )</f>
        <v>#N/A Authorization</v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$A$20</f>
        <v xml:space="preserve">    预制房房地产投资信托总营运现金流</v>
      </c>
      <c r="B54" t="str">
        <f>$B$20</f>
        <v>RECFFOMH Index</v>
      </c>
      <c r="C54" t="str">
        <f>$C$20</f>
        <v>PR005</v>
      </c>
      <c r="D54" t="str">
        <f>$D$20</f>
        <v>PX_LAST</v>
      </c>
      <c r="E54" t="str">
        <f>$E$20</f>
        <v>动态</v>
      </c>
      <c r="F54" t="str">
        <f ca="1">BDH($B$20,$C$20,$B$37,$B$38,CONCATENATE("Per=",$B$35),"Dts=H","Dir=H",CONCATENATE("Points=",$B$36),"Sort=R","Days=A","Fill=B",CONCATENATE("FX=", $B$34) )</f>
        <v>#N/A Authorization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  <c r="CI54" t="str">
        <f>""</f>
        <v/>
      </c>
      <c r="CJ54" t="str">
        <f>""</f>
        <v/>
      </c>
      <c r="CK54" t="str">
        <f>""</f>
        <v/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</row>
    <row r="55" spans="1:125">
      <c r="A55" t="str">
        <f>$A$21</f>
        <v xml:space="preserve">    预制房房地产投资信托净营业利润</v>
      </c>
      <c r="B55" t="str">
        <f>$B$21</f>
        <v>RECFNOMH Index</v>
      </c>
      <c r="C55" t="str">
        <f>$C$21</f>
        <v>PR005</v>
      </c>
      <c r="D55" t="str">
        <f>$D$21</f>
        <v>PX_LAST</v>
      </c>
      <c r="E55" t="str">
        <f>$E$21</f>
        <v>动态</v>
      </c>
      <c r="F55" t="str">
        <f ca="1">BDH($B$21,$C$21,$B$37,$B$38,CONCATENATE("Per=",$B$35),"Dts=H","Dir=H",CONCATENATE("Points=",$B$36),"Sort=R","Days=A","Fill=B",CONCATENATE("FX=", $B$34) )</f>
        <v>#N/A Authorization</v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 t="str">
        <f>""</f>
        <v/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>
      <c r="A56" t="str">
        <f>$A$22</f>
        <v xml:space="preserve">    预制房房地产投资信托同店净营业利润增长</v>
      </c>
      <c r="B56" t="str">
        <f>$B$22</f>
        <v>RECFSSMH Index</v>
      </c>
      <c r="C56" t="str">
        <f>$C$22</f>
        <v>PR005</v>
      </c>
      <c r="D56" t="str">
        <f>$D$22</f>
        <v>PX_LAST</v>
      </c>
      <c r="E56" t="str">
        <f>$E$22</f>
        <v>动态</v>
      </c>
      <c r="F56" t="str">
        <f ca="1">BDH($B$22,$C$22,$B$37,$B$38,CONCATENATE("Per=",$B$35),"Dts=H","Dir=H",CONCATENATE("Points=",$B$36),"Sort=R","Days=A","Fill=B",CONCATENATE("FX=", $B$34) )</f>
        <v>#N/A Authorization</v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$A$23</f>
        <v xml:space="preserve">    预制房房地产投资信托总股利支付</v>
      </c>
      <c r="B57" t="str">
        <f>$B$23</f>
        <v>RECFTDMH Index</v>
      </c>
      <c r="C57" t="str">
        <f>$C$23</f>
        <v>PR005</v>
      </c>
      <c r="D57" t="str">
        <f>$D$23</f>
        <v>PX_LAST</v>
      </c>
      <c r="E57" t="str">
        <f>$E$23</f>
        <v>动态</v>
      </c>
      <c r="F57" t="str">
        <f ca="1">BDH($B$23,$C$23,$B$37,$B$38,CONCATENATE("Per=",$B$35),"Dts=H","Dir=H",CONCATENATE("Points=",$B$36),"Sort=R","Days=A","Fill=B",CONCATENATE("FX=", $B$34) )</f>
        <v>#N/A Authorization</v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""</f>
        <v/>
      </c>
      <c r="B58" t="str">
        <f>""</f>
        <v/>
      </c>
      <c r="C58" t="str">
        <f>""</f>
        <v/>
      </c>
      <c r="D58" t="str">
        <f>""</f>
        <v/>
      </c>
      <c r="E58" t="str">
        <f>""</f>
        <v/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""</f>
        <v/>
      </c>
      <c r="CI58" t="str">
        <f>""</f>
        <v/>
      </c>
      <c r="CJ58" t="str">
        <f>""</f>
        <v/>
      </c>
      <c r="CK58" t="str">
        <f>""</f>
        <v/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>
      <c r="A59" t="str">
        <f>""</f>
        <v/>
      </c>
      <c r="B59" t="str">
        <f>""</f>
        <v/>
      </c>
      <c r="C59" t="str">
        <f>""</f>
        <v/>
      </c>
      <c r="D59" t="str">
        <f>""</f>
        <v/>
      </c>
      <c r="E59" t="str">
        <f>""</f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""</f>
        <v/>
      </c>
      <c r="B60" t="str">
        <f>""</f>
        <v/>
      </c>
      <c r="C60" t="str">
        <f>""</f>
        <v/>
      </c>
      <c r="D60" t="str">
        <f>""</f>
        <v/>
      </c>
      <c r="E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>
      <c r="A61" t="str">
        <f>""</f>
        <v/>
      </c>
      <c r="B61" t="str">
        <f>""</f>
        <v/>
      </c>
      <c r="C61" t="str">
        <f>""</f>
        <v/>
      </c>
      <c r="D61" t="str">
        <f>""</f>
        <v/>
      </c>
      <c r="E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>
      <c r="A62" t="str">
        <f>""</f>
        <v/>
      </c>
      <c r="B62" t="str">
        <f>""</f>
        <v/>
      </c>
      <c r="C62" t="str">
        <f>""</f>
        <v/>
      </c>
      <c r="D62" t="str">
        <f>""</f>
        <v/>
      </c>
      <c r="E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"~~~~~~~~~~~~~~~~~~~~~"</f>
        <v>~~~~~~~~~~~~~~~~~~~~~</v>
      </c>
      <c r="B63" t="str">
        <f>"~~~~~~~~~~~~~~~~~~~~~"</f>
        <v>~~~~~~~~~~~~~~~~~~~~~</v>
      </c>
      <c r="C63" t="str">
        <f>"~~~~~~~~~~~~~~~~~~~~~"</f>
        <v>~~~~~~~~~~~~~~~~~~~~~</v>
      </c>
      <c r="D63" t="str">
        <f>"~~~~~~~~~~~~~~~~~~~~~"</f>
        <v>~~~~~~~~~~~~~~~~~~~~~</v>
      </c>
      <c r="E63" t="str">
        <f>"~~~~~~~~~~~~~~~~~~~~~"</f>
        <v>~~~~~~~~~~~~~~~~~~~~~</v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>
      <c r="A64" t="str">
        <f>"Rows below for column date calculation"</f>
        <v>Rows below for column date calculation</v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>
      <c r="A65" t="str">
        <f>"Downloaded at"</f>
        <v>Downloaded at</v>
      </c>
      <c r="B65">
        <f>DATE(2018, 3,13)</f>
        <v>43172</v>
      </c>
      <c r="C65" t="str">
        <f>""</f>
        <v/>
      </c>
      <c r="D65" t="str">
        <f>""</f>
        <v/>
      </c>
      <c r="E65" t="str">
        <f>""</f>
        <v/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>
      <c r="A66" t="str">
        <f>"This is End Date"</f>
        <v>This is End Date</v>
      </c>
      <c r="B66">
        <f ca="1">$B$38</f>
        <v>43173</v>
      </c>
      <c r="C66" t="str">
        <f>""</f>
        <v/>
      </c>
      <c r="D66" t="str">
        <f>""</f>
        <v/>
      </c>
      <c r="E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>
      <c r="A67" t="str">
        <f>"简述"</f>
        <v>简述</v>
      </c>
      <c r="B67" t="str">
        <f>"代码"</f>
        <v>代码</v>
      </c>
      <c r="C67" t="str">
        <f>"栏目ID"</f>
        <v>栏目ID</v>
      </c>
      <c r="D67" t="str">
        <f>"栏目助记符"</f>
        <v>栏目助记符</v>
      </c>
      <c r="E67" t="str">
        <f>"数据状态"</f>
        <v>数据状态</v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  <c r="CH67" t="str">
        <f>""</f>
        <v/>
      </c>
      <c r="CI67" t="str">
        <f>""</f>
        <v/>
      </c>
      <c r="CJ67" t="str">
        <f>""</f>
        <v/>
      </c>
      <c r="CK67" t="str">
        <f>""</f>
        <v/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</row>
    <row r="68" spans="1:125">
      <c r="A68" t="str">
        <f>"Snapshot Date"</f>
        <v>Snapshot Date</v>
      </c>
      <c r="B68">
        <f>DATE(2018, 3,13)</f>
        <v>43172</v>
      </c>
      <c r="C68" t="str">
        <f>""</f>
        <v/>
      </c>
      <c r="D68" t="str">
        <f>""</f>
        <v/>
      </c>
      <c r="E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>
      <c r="A69" t="str">
        <f>"Snapshot header"</f>
        <v>Snapshot header</v>
      </c>
      <c r="B69">
        <f>2</f>
        <v>2</v>
      </c>
      <c r="C69" t="str">
        <f>"2017 Q4"</f>
        <v>2017 Q4</v>
      </c>
      <c r="D69" t="str">
        <f>"2017 Q3"</f>
        <v>2017 Q3</v>
      </c>
      <c r="E69" t="str">
        <f>"2017 Q2"</f>
        <v>2017 Q2</v>
      </c>
      <c r="F69" t="str">
        <f>"2017 Q1"</f>
        <v>2017 Q1</v>
      </c>
      <c r="G69" t="str">
        <f>"2016 Q4"</f>
        <v>2016 Q4</v>
      </c>
      <c r="H69" t="str">
        <f>"2016 Q3"</f>
        <v>2016 Q3</v>
      </c>
      <c r="I69" t="str">
        <f>"2016 Q2"</f>
        <v>2016 Q2</v>
      </c>
      <c r="J69" t="str">
        <f>"2016 Q1"</f>
        <v>2016 Q1</v>
      </c>
      <c r="K69" t="str">
        <f>"2015 Q4"</f>
        <v>2015 Q4</v>
      </c>
      <c r="L69" t="str">
        <f>"2015 Q3"</f>
        <v>2015 Q3</v>
      </c>
      <c r="M69" t="str">
        <f>"2015 Q2"</f>
        <v>2015 Q2</v>
      </c>
      <c r="N69" t="str">
        <f>"2015 Q1"</f>
        <v>2015 Q1</v>
      </c>
      <c r="O69" t="str">
        <f>"2014 Q4"</f>
        <v>2014 Q4</v>
      </c>
      <c r="P69" t="str">
        <f>"2014 Q3"</f>
        <v>2014 Q3</v>
      </c>
      <c r="Q69" t="str">
        <f>"2014 Q2"</f>
        <v>2014 Q2</v>
      </c>
      <c r="R69" t="str">
        <f>"2014 Q1"</f>
        <v>2014 Q1</v>
      </c>
      <c r="S69" t="str">
        <f>"2013 Q4"</f>
        <v>2013 Q4</v>
      </c>
      <c r="T69" t="str">
        <f>"2013 Q3"</f>
        <v>2013 Q3</v>
      </c>
      <c r="U69" t="str">
        <f>"2013 Q2"</f>
        <v>2013 Q2</v>
      </c>
      <c r="V69" t="str">
        <f>"2013 Q1"</f>
        <v>2013 Q1</v>
      </c>
      <c r="W69" t="str">
        <f>"2012 Q4"</f>
        <v>2012 Q4</v>
      </c>
      <c r="X69" t="str">
        <f>"2012 Q3"</f>
        <v>2012 Q3</v>
      </c>
      <c r="Y69" t="str">
        <f>"2012 Q2"</f>
        <v>2012 Q2</v>
      </c>
      <c r="Z69" t="str">
        <f>"2012 Q1"</f>
        <v>2012 Q1</v>
      </c>
      <c r="AA69" t="str">
        <f>"2011 Q4"</f>
        <v>2011 Q4</v>
      </c>
      <c r="AB69" t="str">
        <f>"2011 Q3"</f>
        <v>2011 Q3</v>
      </c>
      <c r="AC69" t="str">
        <f>"2011 Q2"</f>
        <v>2011 Q2</v>
      </c>
      <c r="AD69" t="str">
        <f>"2011 Q1"</f>
        <v>2011 Q1</v>
      </c>
      <c r="AE69" t="str">
        <f>"2010 Q4"</f>
        <v>2010 Q4</v>
      </c>
      <c r="AF69" t="str">
        <f>"2010 Q3"</f>
        <v>2010 Q3</v>
      </c>
      <c r="AG69" t="str">
        <f>"2010 Q2"</f>
        <v>2010 Q2</v>
      </c>
      <c r="AH69" t="str">
        <f>"2010 Q1"</f>
        <v>2010 Q1</v>
      </c>
      <c r="AI69" t="str">
        <f>"2009 Q4"</f>
        <v>2009 Q4</v>
      </c>
      <c r="AJ69" t="str">
        <f>"2009 Q3"</f>
        <v>2009 Q3</v>
      </c>
      <c r="AK69" t="str">
        <f>"2009 Q2"</f>
        <v>2009 Q2</v>
      </c>
      <c r="AL69" t="str">
        <f>"2009 Q1"</f>
        <v>2009 Q1</v>
      </c>
      <c r="AM69" t="str">
        <f>"2008 Q4"</f>
        <v>2008 Q4</v>
      </c>
      <c r="AN69" t="str">
        <f>"2008 Q3"</f>
        <v>2008 Q3</v>
      </c>
      <c r="AO69" t="str">
        <f>"2008 Q2"</f>
        <v>2008 Q2</v>
      </c>
      <c r="AP69" t="str">
        <f>"2008 Q1"</f>
        <v>2008 Q1</v>
      </c>
      <c r="AQ69" t="str">
        <f>"2007 Q4"</f>
        <v>2007 Q4</v>
      </c>
      <c r="AR69" t="str">
        <f>"2007 Q3"</f>
        <v>2007 Q3</v>
      </c>
      <c r="AS69" t="str">
        <f>"2007 Q2"</f>
        <v>2007 Q2</v>
      </c>
      <c r="AT69" t="str">
        <f>"2007 Q1"</f>
        <v>2007 Q1</v>
      </c>
      <c r="AU69" t="str">
        <f>"2006 Q4"</f>
        <v>2006 Q4</v>
      </c>
      <c r="AV69" t="str">
        <f>"2006 Q3"</f>
        <v>2006 Q3</v>
      </c>
      <c r="AW69" t="str">
        <f>"2006 Q2"</f>
        <v>2006 Q2</v>
      </c>
      <c r="AX69" t="str">
        <f>"2006 Q1"</f>
        <v>2006 Q1</v>
      </c>
      <c r="AY69" t="str">
        <f>"2005 Q4"</f>
        <v>2005 Q4</v>
      </c>
      <c r="AZ69" t="str">
        <f>"2005 Q3"</f>
        <v>2005 Q3</v>
      </c>
      <c r="BA69" t="str">
        <f>"2005 Q2"</f>
        <v>2005 Q2</v>
      </c>
      <c r="BB69" t="str">
        <f>"2005 Q1"</f>
        <v>2005 Q1</v>
      </c>
      <c r="BC69" t="str">
        <f>"2004 Q4"</f>
        <v>2004 Q4</v>
      </c>
      <c r="BD69" t="str">
        <f>"2004 Q3"</f>
        <v>2004 Q3</v>
      </c>
      <c r="BE69" t="str">
        <f>"2004 Q2"</f>
        <v>2004 Q2</v>
      </c>
      <c r="BF69" t="str">
        <f>"2004 Q1"</f>
        <v>2004 Q1</v>
      </c>
      <c r="BG69" t="str">
        <f>"2003 Q4"</f>
        <v>2003 Q4</v>
      </c>
      <c r="BH69" t="str">
        <f>"2003 Q3"</f>
        <v>2003 Q3</v>
      </c>
      <c r="BI69" t="str">
        <f>"2003 Q2"</f>
        <v>2003 Q2</v>
      </c>
      <c r="BJ69" t="str">
        <f>"2003 Q1"</f>
        <v>2003 Q1</v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>
      <c r="A70" t="str">
        <f>"BDH snapshot header0"</f>
        <v>BDH snapshot header0</v>
      </c>
      <c r="B70">
        <f>IF(OR(ISERROR($C$70),ISBLANK($C$70),ISNUMBER(SEARCH("N/A",$C$70) ),ISERROR($C$71),ISBLANK($C$71)),0,1)</f>
        <v>0</v>
      </c>
      <c r="C70" t="str">
        <f>BDH($B$4,$C$4,$B$37,$B$68,"PER=CQ","Dts=S","DtFmt=FI", "rows=2","Dir=H","Points=60","Sort=R","Days=A","Fill=B","FX=USD" )</f>
        <v>#N/A Authorization</v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>
      <c r="A71" t="str">
        <f>"BDH snapshot result0"</f>
        <v>BDH snapshot result0</v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 t="str">
        <f>""</f>
        <v/>
      </c>
      <c r="CJ71" t="str">
        <f>""</f>
        <v/>
      </c>
      <c r="CK71" t="str">
        <f>""</f>
        <v/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"BDH snapshot header1"</f>
        <v>BDH snapshot header1</v>
      </c>
      <c r="B72">
        <f>IF(OR(ISERROR($C$72),ISBLANK($C$72),ISNUMBER(SEARCH("N/A",$C$72) ),ISERROR($C$73),ISBLANK($C$73)),0,1)</f>
        <v>0</v>
      </c>
      <c r="C72" t="str">
        <f>BDH($B$5,$C$5,$B$37,$B$68,"PER=CQ","Dts=S","DtFmt=FI", "rows=2","Dir=H","Points=60","Sort=R","Days=A","Fill=B","FX=USD" )</f>
        <v>#N/A Authorization</v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>
      <c r="A73" t="str">
        <f>"BDH snapshot result1"</f>
        <v>BDH snapshot result1</v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</row>
    <row r="74" spans="1:125">
      <c r="A74" t="str">
        <f>"BDH snapshot header2"</f>
        <v>BDH snapshot header2</v>
      </c>
      <c r="B74">
        <f>IF(OR(ISERROR($C$74),ISBLANK($C$74),ISNUMBER(SEARCH("N/A",$C$74) ),ISERROR($C$75),ISBLANK($C$75)),0,1)</f>
        <v>0</v>
      </c>
      <c r="C74" t="str">
        <f>BDH($B$6,$C$6,$B$37,$B$68,"PER=CQ","Dts=S","DtFmt=FI", "rows=2","Dir=H","Points=60","Sort=R","Days=A","Fill=B","FX=USD" )</f>
        <v>#N/A Authorization</v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</row>
    <row r="75" spans="1:125">
      <c r="A75" t="str">
        <f>"BDH snapshot result2"</f>
        <v>BDH snapshot result2</v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"BDH snapshot"</f>
        <v>BDH snapshot</v>
      </c>
      <c r="B76">
        <f>IF($B$70&gt;=1,$B$70,IF($B$72&gt;=1,$B$72,IF($B$74&gt;=1,$B$74,$B$69)))</f>
        <v>2</v>
      </c>
      <c r="C76" t="str">
        <f>IF($B$70&gt;=1,$C$70,IF($B$72&gt;=1,$C$72,IF($B$74&gt;=1,$C$74,$C$69)))</f>
        <v>2017 Q4</v>
      </c>
      <c r="D76" t="str">
        <f>IF($B$70&gt;=1,$D$70,IF($B$72&gt;=1,$D$72,IF($B$74&gt;=1,$D$74,$D$69)))</f>
        <v>2017 Q3</v>
      </c>
      <c r="E76" t="str">
        <f>IF($B$70&gt;=1,$E$70,IF($B$72&gt;=1,$E$72,IF($B$74&gt;=1,$E$74,$E$69)))</f>
        <v>2017 Q2</v>
      </c>
      <c r="F76" t="str">
        <f>IF($B$70&gt;=1,$F$70,IF($B$72&gt;=1,$F$72,IF($B$74&gt;=1,$F$74,$F$69)))</f>
        <v>2017 Q1</v>
      </c>
      <c r="G76" t="str">
        <f>IF($B$70&gt;=1,$G$70,IF($B$72&gt;=1,$G$72,IF($B$74&gt;=1,$G$74,$G$69)))</f>
        <v>2016 Q4</v>
      </c>
      <c r="H76" t="str">
        <f>IF($B$70&gt;=1,$H$70,IF($B$72&gt;=1,$H$72,IF($B$74&gt;=1,$H$74,$H$69)))</f>
        <v>2016 Q3</v>
      </c>
      <c r="I76" t="str">
        <f>IF($B$70&gt;=1,$I$70,IF($B$72&gt;=1,$I$72,IF($B$74&gt;=1,$I$74,$I$69)))</f>
        <v>2016 Q2</v>
      </c>
      <c r="J76" t="str">
        <f>IF($B$70&gt;=1,$J$70,IF($B$72&gt;=1,$J$72,IF($B$74&gt;=1,$J$74,$J$69)))</f>
        <v>2016 Q1</v>
      </c>
      <c r="K76" t="str">
        <f>IF($B$70&gt;=1,$K$70,IF($B$72&gt;=1,$K$72,IF($B$74&gt;=1,$K$74,$K$69)))</f>
        <v>2015 Q4</v>
      </c>
      <c r="L76" t="str">
        <f>IF($B$70&gt;=1,$L$70,IF($B$72&gt;=1,$L$72,IF($B$74&gt;=1,$L$74,$L$69)))</f>
        <v>2015 Q3</v>
      </c>
      <c r="M76" t="str">
        <f>IF($B$70&gt;=1,$M$70,IF($B$72&gt;=1,$M$72,IF($B$74&gt;=1,$M$74,$M$69)))</f>
        <v>2015 Q2</v>
      </c>
      <c r="N76" t="str">
        <f>IF($B$70&gt;=1,$N$70,IF($B$72&gt;=1,$N$72,IF($B$74&gt;=1,$N$74,$N$69)))</f>
        <v>2015 Q1</v>
      </c>
      <c r="O76" t="str">
        <f>IF($B$70&gt;=1,$O$70,IF($B$72&gt;=1,$O$72,IF($B$74&gt;=1,$O$74,$O$69)))</f>
        <v>2014 Q4</v>
      </c>
      <c r="P76" t="str">
        <f>IF($B$70&gt;=1,$P$70,IF($B$72&gt;=1,$P$72,IF($B$74&gt;=1,$P$74,$P$69)))</f>
        <v>2014 Q3</v>
      </c>
      <c r="Q76" t="str">
        <f>IF($B$70&gt;=1,$Q$70,IF($B$72&gt;=1,$Q$72,IF($B$74&gt;=1,$Q$74,$Q$69)))</f>
        <v>2014 Q2</v>
      </c>
      <c r="R76" t="str">
        <f>IF($B$70&gt;=1,$R$70,IF($B$72&gt;=1,$R$72,IF($B$74&gt;=1,$R$74,$R$69)))</f>
        <v>2014 Q1</v>
      </c>
      <c r="S76" t="str">
        <f>IF($B$70&gt;=1,$S$70,IF($B$72&gt;=1,$S$72,IF($B$74&gt;=1,$S$74,$S$69)))</f>
        <v>2013 Q4</v>
      </c>
      <c r="T76" t="str">
        <f>IF($B$70&gt;=1,$T$70,IF($B$72&gt;=1,$T$72,IF($B$74&gt;=1,$T$74,$T$69)))</f>
        <v>2013 Q3</v>
      </c>
      <c r="U76" t="str">
        <f>IF($B$70&gt;=1,$U$70,IF($B$72&gt;=1,$U$72,IF($B$74&gt;=1,$U$74,$U$69)))</f>
        <v>2013 Q2</v>
      </c>
      <c r="V76" t="str">
        <f>IF($B$70&gt;=1,$V$70,IF($B$72&gt;=1,$V$72,IF($B$74&gt;=1,$V$74,$V$69)))</f>
        <v>2013 Q1</v>
      </c>
      <c r="W76" t="str">
        <f>IF($B$70&gt;=1,$W$70,IF($B$72&gt;=1,$W$72,IF($B$74&gt;=1,$W$74,$W$69)))</f>
        <v>2012 Q4</v>
      </c>
      <c r="X76" t="str">
        <f>IF($B$70&gt;=1,$X$70,IF($B$72&gt;=1,$X$72,IF($B$74&gt;=1,$X$74,$X$69)))</f>
        <v>2012 Q3</v>
      </c>
      <c r="Y76" t="str">
        <f>IF($B$70&gt;=1,$Y$70,IF($B$72&gt;=1,$Y$72,IF($B$74&gt;=1,$Y$74,$Y$69)))</f>
        <v>2012 Q2</v>
      </c>
      <c r="Z76" t="str">
        <f>IF($B$70&gt;=1,$Z$70,IF($B$72&gt;=1,$Z$72,IF($B$74&gt;=1,$Z$74,$Z$69)))</f>
        <v>2012 Q1</v>
      </c>
      <c r="AA76" t="str">
        <f>IF($B$70&gt;=1,$AA$70,IF($B$72&gt;=1,$AA$72,IF($B$74&gt;=1,$AA$74,$AA$69)))</f>
        <v>2011 Q4</v>
      </c>
      <c r="AB76" t="str">
        <f>IF($B$70&gt;=1,$AB$70,IF($B$72&gt;=1,$AB$72,IF($B$74&gt;=1,$AB$74,$AB$69)))</f>
        <v>2011 Q3</v>
      </c>
      <c r="AC76" t="str">
        <f>IF($B$70&gt;=1,$AC$70,IF($B$72&gt;=1,$AC$72,IF($B$74&gt;=1,$AC$74,$AC$69)))</f>
        <v>2011 Q2</v>
      </c>
      <c r="AD76" t="str">
        <f>IF($B$70&gt;=1,$AD$70,IF($B$72&gt;=1,$AD$72,IF($B$74&gt;=1,$AD$74,$AD$69)))</f>
        <v>2011 Q1</v>
      </c>
      <c r="AE76" t="str">
        <f>IF($B$70&gt;=1,$AE$70,IF($B$72&gt;=1,$AE$72,IF($B$74&gt;=1,$AE$74,$AE$69)))</f>
        <v>2010 Q4</v>
      </c>
      <c r="AF76" t="str">
        <f>IF($B$70&gt;=1,$AF$70,IF($B$72&gt;=1,$AF$72,IF($B$74&gt;=1,$AF$74,$AF$69)))</f>
        <v>2010 Q3</v>
      </c>
      <c r="AG76" t="str">
        <f>IF($B$70&gt;=1,$AG$70,IF($B$72&gt;=1,$AG$72,IF($B$74&gt;=1,$AG$74,$AG$69)))</f>
        <v>2010 Q2</v>
      </c>
      <c r="AH76" t="str">
        <f>IF($B$70&gt;=1,$AH$70,IF($B$72&gt;=1,$AH$72,IF($B$74&gt;=1,$AH$74,$AH$69)))</f>
        <v>2010 Q1</v>
      </c>
      <c r="AI76" t="str">
        <f>IF($B$70&gt;=1,$AI$70,IF($B$72&gt;=1,$AI$72,IF($B$74&gt;=1,$AI$74,$AI$69)))</f>
        <v>2009 Q4</v>
      </c>
      <c r="AJ76" t="str">
        <f>IF($B$70&gt;=1,$AJ$70,IF($B$72&gt;=1,$AJ$72,IF($B$74&gt;=1,$AJ$74,$AJ$69)))</f>
        <v>2009 Q3</v>
      </c>
      <c r="AK76" t="str">
        <f>IF($B$70&gt;=1,$AK$70,IF($B$72&gt;=1,$AK$72,IF($B$74&gt;=1,$AK$74,$AK$69)))</f>
        <v>2009 Q2</v>
      </c>
      <c r="AL76" t="str">
        <f>IF($B$70&gt;=1,$AL$70,IF($B$72&gt;=1,$AL$72,IF($B$74&gt;=1,$AL$74,$AL$69)))</f>
        <v>2009 Q1</v>
      </c>
      <c r="AM76" t="str">
        <f>IF($B$70&gt;=1,$AM$70,IF($B$72&gt;=1,$AM$72,IF($B$74&gt;=1,$AM$74,$AM$69)))</f>
        <v>2008 Q4</v>
      </c>
      <c r="AN76" t="str">
        <f>IF($B$70&gt;=1,$AN$70,IF($B$72&gt;=1,$AN$72,IF($B$74&gt;=1,$AN$74,$AN$69)))</f>
        <v>2008 Q3</v>
      </c>
      <c r="AO76" t="str">
        <f>IF($B$70&gt;=1,$AO$70,IF($B$72&gt;=1,$AO$72,IF($B$74&gt;=1,$AO$74,$AO$69)))</f>
        <v>2008 Q2</v>
      </c>
      <c r="AP76" t="str">
        <f>IF($B$70&gt;=1,$AP$70,IF($B$72&gt;=1,$AP$72,IF($B$74&gt;=1,$AP$74,$AP$69)))</f>
        <v>2008 Q1</v>
      </c>
      <c r="AQ76" t="str">
        <f>IF($B$70&gt;=1,$AQ$70,IF($B$72&gt;=1,$AQ$72,IF($B$74&gt;=1,$AQ$74,$AQ$69)))</f>
        <v>2007 Q4</v>
      </c>
      <c r="AR76" t="str">
        <f>IF($B$70&gt;=1,$AR$70,IF($B$72&gt;=1,$AR$72,IF($B$74&gt;=1,$AR$74,$AR$69)))</f>
        <v>2007 Q3</v>
      </c>
      <c r="AS76" t="str">
        <f>IF($B$70&gt;=1,$AS$70,IF($B$72&gt;=1,$AS$72,IF($B$74&gt;=1,$AS$74,$AS$69)))</f>
        <v>2007 Q2</v>
      </c>
      <c r="AT76" t="str">
        <f>IF($B$70&gt;=1,$AT$70,IF($B$72&gt;=1,$AT$72,IF($B$74&gt;=1,$AT$74,$AT$69)))</f>
        <v>2007 Q1</v>
      </c>
      <c r="AU76" t="str">
        <f>IF($B$70&gt;=1,$AU$70,IF($B$72&gt;=1,$AU$72,IF($B$74&gt;=1,$AU$74,$AU$69)))</f>
        <v>2006 Q4</v>
      </c>
      <c r="AV76" t="str">
        <f>IF($B$70&gt;=1,$AV$70,IF($B$72&gt;=1,$AV$72,IF($B$74&gt;=1,$AV$74,$AV$69)))</f>
        <v>2006 Q3</v>
      </c>
      <c r="AW76" t="str">
        <f>IF($B$70&gt;=1,$AW$70,IF($B$72&gt;=1,$AW$72,IF($B$74&gt;=1,$AW$74,$AW$69)))</f>
        <v>2006 Q2</v>
      </c>
      <c r="AX76" t="str">
        <f>IF($B$70&gt;=1,$AX$70,IF($B$72&gt;=1,$AX$72,IF($B$74&gt;=1,$AX$74,$AX$69)))</f>
        <v>2006 Q1</v>
      </c>
      <c r="AY76" t="str">
        <f>IF($B$70&gt;=1,$AY$70,IF($B$72&gt;=1,$AY$72,IF($B$74&gt;=1,$AY$74,$AY$69)))</f>
        <v>2005 Q4</v>
      </c>
      <c r="AZ76" t="str">
        <f>IF($B$70&gt;=1,$AZ$70,IF($B$72&gt;=1,$AZ$72,IF($B$74&gt;=1,$AZ$74,$AZ$69)))</f>
        <v>2005 Q3</v>
      </c>
      <c r="BA76" t="str">
        <f>IF($B$70&gt;=1,$BA$70,IF($B$72&gt;=1,$BA$72,IF($B$74&gt;=1,$BA$74,$BA$69)))</f>
        <v>2005 Q2</v>
      </c>
      <c r="BB76" t="str">
        <f>IF($B$70&gt;=1,$BB$70,IF($B$72&gt;=1,$BB$72,IF($B$74&gt;=1,$BB$74,$BB$69)))</f>
        <v>2005 Q1</v>
      </c>
      <c r="BC76" t="str">
        <f>IF($B$70&gt;=1,$BC$70,IF($B$72&gt;=1,$BC$72,IF($B$74&gt;=1,$BC$74,$BC$69)))</f>
        <v>2004 Q4</v>
      </c>
      <c r="BD76" t="str">
        <f>IF($B$70&gt;=1,$BD$70,IF($B$72&gt;=1,$BD$72,IF($B$74&gt;=1,$BD$74,$BD$69)))</f>
        <v>2004 Q3</v>
      </c>
      <c r="BE76" t="str">
        <f>IF($B$70&gt;=1,$BE$70,IF($B$72&gt;=1,$BE$72,IF($B$74&gt;=1,$BE$74,$BE$69)))</f>
        <v>2004 Q2</v>
      </c>
      <c r="BF76" t="str">
        <f>IF($B$70&gt;=1,$BF$70,IF($B$72&gt;=1,$BF$72,IF($B$74&gt;=1,$BF$74,$BF$69)))</f>
        <v>2004 Q1</v>
      </c>
      <c r="BG76" t="str">
        <f>IF($B$70&gt;=1,$BG$70,IF($B$72&gt;=1,$BG$72,IF($B$74&gt;=1,$BG$74,$BG$69)))</f>
        <v>2003 Q4</v>
      </c>
      <c r="BH76" t="str">
        <f>IF($B$70&gt;=1,$BH$70,IF($B$72&gt;=1,$BH$72,IF($B$74&gt;=1,$BH$74,$BH$69)))</f>
        <v>2003 Q3</v>
      </c>
      <c r="BI76" t="str">
        <f>IF($B$70&gt;=1,$BI$70,IF($B$72&gt;=1,$BI$72,IF($B$74&gt;=1,$BI$74,$BI$69)))</f>
        <v>2003 Q2</v>
      </c>
      <c r="BJ76" t="str">
        <f>IF($B$70&gt;=1,$BJ$70,IF($B$72&gt;=1,$BJ$72,IF($B$74&gt;=1,$BJ$74,$BJ$69)))</f>
        <v>2003 Q1</v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>
      <c r="A77" t="str">
        <f>"BDH snapshot title"</f>
        <v>BDH snapshot title</v>
      </c>
      <c r="B77">
        <f>$B$76</f>
        <v>2</v>
      </c>
      <c r="C77" t="str">
        <f>IF(LEN($C$76)&lt;&gt;8,$C$76,RIGHT($C$76,4)&amp;" "&amp;MID($C$76,3,1)&amp;LEFT($C$76,1))</f>
        <v>2017 Q4</v>
      </c>
      <c r="D77" t="str">
        <f>IF(LEN($D$76)&lt;&gt;8,$D$76,RIGHT($D$76,4)&amp;" "&amp;MID($D$76,3,1)&amp;LEFT($D$76,1))</f>
        <v>2017 Q3</v>
      </c>
      <c r="E77" t="str">
        <f>IF(LEN($E$76)&lt;&gt;8,$E$76,RIGHT($E$76,4)&amp;" "&amp;MID($E$76,3,1)&amp;LEFT($E$76,1))</f>
        <v>2017 Q2</v>
      </c>
      <c r="F77" t="str">
        <f>IF(LEN($F$76)&lt;&gt;8,$F$76,RIGHT($F$76,4)&amp;" "&amp;MID($F$76,3,1)&amp;LEFT($F$76,1))</f>
        <v>2017 Q1</v>
      </c>
      <c r="G77" t="str">
        <f>IF(LEN($G$76)&lt;&gt;8,$G$76,RIGHT($G$76,4)&amp;" "&amp;MID($G$76,3,1)&amp;LEFT($G$76,1))</f>
        <v>2016 Q4</v>
      </c>
      <c r="H77" t="str">
        <f>IF(LEN($H$76)&lt;&gt;8,$H$76,RIGHT($H$76,4)&amp;" "&amp;MID($H$76,3,1)&amp;LEFT($H$76,1))</f>
        <v>2016 Q3</v>
      </c>
      <c r="I77" t="str">
        <f>IF(LEN($I$76)&lt;&gt;8,$I$76,RIGHT($I$76,4)&amp;" "&amp;MID($I$76,3,1)&amp;LEFT($I$76,1))</f>
        <v>2016 Q2</v>
      </c>
      <c r="J77" t="str">
        <f>IF(LEN($J$76)&lt;&gt;8,$J$76,RIGHT($J$76,4)&amp;" "&amp;MID($J$76,3,1)&amp;LEFT($J$76,1))</f>
        <v>2016 Q1</v>
      </c>
      <c r="K77" t="str">
        <f>IF(LEN($K$76)&lt;&gt;8,$K$76,RIGHT($K$76,4)&amp;" "&amp;MID($K$76,3,1)&amp;LEFT($K$76,1))</f>
        <v>2015 Q4</v>
      </c>
      <c r="L77" t="str">
        <f>IF(LEN($L$76)&lt;&gt;8,$L$76,RIGHT($L$76,4)&amp;" "&amp;MID($L$76,3,1)&amp;LEFT($L$76,1))</f>
        <v>2015 Q3</v>
      </c>
      <c r="M77" t="str">
        <f>IF(LEN($M$76)&lt;&gt;8,$M$76,RIGHT($M$76,4)&amp;" "&amp;MID($M$76,3,1)&amp;LEFT($M$76,1))</f>
        <v>2015 Q2</v>
      </c>
      <c r="N77" t="str">
        <f>IF(LEN($N$76)&lt;&gt;8,$N$76,RIGHT($N$76,4)&amp;" "&amp;MID($N$76,3,1)&amp;LEFT($N$76,1))</f>
        <v>2015 Q1</v>
      </c>
      <c r="O77" t="str">
        <f>IF(LEN($O$76)&lt;&gt;8,$O$76,RIGHT($O$76,4)&amp;" "&amp;MID($O$76,3,1)&amp;LEFT($O$76,1))</f>
        <v>2014 Q4</v>
      </c>
      <c r="P77" t="str">
        <f>IF(LEN($P$76)&lt;&gt;8,$P$76,RIGHT($P$76,4)&amp;" "&amp;MID($P$76,3,1)&amp;LEFT($P$76,1))</f>
        <v>2014 Q3</v>
      </c>
      <c r="Q77" t="str">
        <f>IF(LEN($Q$76)&lt;&gt;8,$Q$76,RIGHT($Q$76,4)&amp;" "&amp;MID($Q$76,3,1)&amp;LEFT($Q$76,1))</f>
        <v>2014 Q2</v>
      </c>
      <c r="R77" t="str">
        <f>IF(LEN($R$76)&lt;&gt;8,$R$76,RIGHT($R$76,4)&amp;" "&amp;MID($R$76,3,1)&amp;LEFT($R$76,1))</f>
        <v>2014 Q1</v>
      </c>
      <c r="S77" t="str">
        <f>IF(LEN($S$76)&lt;&gt;8,$S$76,RIGHT($S$76,4)&amp;" "&amp;MID($S$76,3,1)&amp;LEFT($S$76,1))</f>
        <v>2013 Q4</v>
      </c>
      <c r="T77" t="str">
        <f>IF(LEN($T$76)&lt;&gt;8,$T$76,RIGHT($T$76,4)&amp;" "&amp;MID($T$76,3,1)&amp;LEFT($T$76,1))</f>
        <v>2013 Q3</v>
      </c>
      <c r="U77" t="str">
        <f>IF(LEN($U$76)&lt;&gt;8,$U$76,RIGHT($U$76,4)&amp;" "&amp;MID($U$76,3,1)&amp;LEFT($U$76,1))</f>
        <v>2013 Q2</v>
      </c>
      <c r="V77" t="str">
        <f>IF(LEN($V$76)&lt;&gt;8,$V$76,RIGHT($V$76,4)&amp;" "&amp;MID($V$76,3,1)&amp;LEFT($V$76,1))</f>
        <v>2013 Q1</v>
      </c>
      <c r="W77" t="str">
        <f>IF(LEN($W$76)&lt;&gt;8,$W$76,RIGHT($W$76,4)&amp;" "&amp;MID($W$76,3,1)&amp;LEFT($W$76,1))</f>
        <v>2012 Q4</v>
      </c>
      <c r="X77" t="str">
        <f>IF(LEN($X$76)&lt;&gt;8,$X$76,RIGHT($X$76,4)&amp;" "&amp;MID($X$76,3,1)&amp;LEFT($X$76,1))</f>
        <v>2012 Q3</v>
      </c>
      <c r="Y77" t="str">
        <f>IF(LEN($Y$76)&lt;&gt;8,$Y$76,RIGHT($Y$76,4)&amp;" "&amp;MID($Y$76,3,1)&amp;LEFT($Y$76,1))</f>
        <v>2012 Q2</v>
      </c>
      <c r="Z77" t="str">
        <f>IF(LEN($Z$76)&lt;&gt;8,$Z$76,RIGHT($Z$76,4)&amp;" "&amp;MID($Z$76,3,1)&amp;LEFT($Z$76,1))</f>
        <v>2012 Q1</v>
      </c>
      <c r="AA77" t="str">
        <f>IF(LEN($AA$76)&lt;&gt;8,$AA$76,RIGHT($AA$76,4)&amp;" "&amp;MID($AA$76,3,1)&amp;LEFT($AA$76,1))</f>
        <v>2011 Q4</v>
      </c>
      <c r="AB77" t="str">
        <f>IF(LEN($AB$76)&lt;&gt;8,$AB$76,RIGHT($AB$76,4)&amp;" "&amp;MID($AB$76,3,1)&amp;LEFT($AB$76,1))</f>
        <v>2011 Q3</v>
      </c>
      <c r="AC77" t="str">
        <f>IF(LEN($AC$76)&lt;&gt;8,$AC$76,RIGHT($AC$76,4)&amp;" "&amp;MID($AC$76,3,1)&amp;LEFT($AC$76,1))</f>
        <v>2011 Q2</v>
      </c>
      <c r="AD77" t="str">
        <f>IF(LEN($AD$76)&lt;&gt;8,$AD$76,RIGHT($AD$76,4)&amp;" "&amp;MID($AD$76,3,1)&amp;LEFT($AD$76,1))</f>
        <v>2011 Q1</v>
      </c>
      <c r="AE77" t="str">
        <f>IF(LEN($AE$76)&lt;&gt;8,$AE$76,RIGHT($AE$76,4)&amp;" "&amp;MID($AE$76,3,1)&amp;LEFT($AE$76,1))</f>
        <v>2010 Q4</v>
      </c>
      <c r="AF77" t="str">
        <f>IF(LEN($AF$76)&lt;&gt;8,$AF$76,RIGHT($AF$76,4)&amp;" "&amp;MID($AF$76,3,1)&amp;LEFT($AF$76,1))</f>
        <v>2010 Q3</v>
      </c>
      <c r="AG77" t="str">
        <f>IF(LEN($AG$76)&lt;&gt;8,$AG$76,RIGHT($AG$76,4)&amp;" "&amp;MID($AG$76,3,1)&amp;LEFT($AG$76,1))</f>
        <v>2010 Q2</v>
      </c>
      <c r="AH77" t="str">
        <f>IF(LEN($AH$76)&lt;&gt;8,$AH$76,RIGHT($AH$76,4)&amp;" "&amp;MID($AH$76,3,1)&amp;LEFT($AH$76,1))</f>
        <v>2010 Q1</v>
      </c>
      <c r="AI77" t="str">
        <f>IF(LEN($AI$76)&lt;&gt;8,$AI$76,RIGHT($AI$76,4)&amp;" "&amp;MID($AI$76,3,1)&amp;LEFT($AI$76,1))</f>
        <v>2009 Q4</v>
      </c>
      <c r="AJ77" t="str">
        <f>IF(LEN($AJ$76)&lt;&gt;8,$AJ$76,RIGHT($AJ$76,4)&amp;" "&amp;MID($AJ$76,3,1)&amp;LEFT($AJ$76,1))</f>
        <v>2009 Q3</v>
      </c>
      <c r="AK77" t="str">
        <f>IF(LEN($AK$76)&lt;&gt;8,$AK$76,RIGHT($AK$76,4)&amp;" "&amp;MID($AK$76,3,1)&amp;LEFT($AK$76,1))</f>
        <v>2009 Q2</v>
      </c>
      <c r="AL77" t="str">
        <f>IF(LEN($AL$76)&lt;&gt;8,$AL$76,RIGHT($AL$76,4)&amp;" "&amp;MID($AL$76,3,1)&amp;LEFT($AL$76,1))</f>
        <v>2009 Q1</v>
      </c>
      <c r="AM77" t="str">
        <f>IF(LEN($AM$76)&lt;&gt;8,$AM$76,RIGHT($AM$76,4)&amp;" "&amp;MID($AM$76,3,1)&amp;LEFT($AM$76,1))</f>
        <v>2008 Q4</v>
      </c>
      <c r="AN77" t="str">
        <f>IF(LEN($AN$76)&lt;&gt;8,$AN$76,RIGHT($AN$76,4)&amp;" "&amp;MID($AN$76,3,1)&amp;LEFT($AN$76,1))</f>
        <v>2008 Q3</v>
      </c>
      <c r="AO77" t="str">
        <f>IF(LEN($AO$76)&lt;&gt;8,$AO$76,RIGHT($AO$76,4)&amp;" "&amp;MID($AO$76,3,1)&amp;LEFT($AO$76,1))</f>
        <v>2008 Q2</v>
      </c>
      <c r="AP77" t="str">
        <f>IF(LEN($AP$76)&lt;&gt;8,$AP$76,RIGHT($AP$76,4)&amp;" "&amp;MID($AP$76,3,1)&amp;LEFT($AP$76,1))</f>
        <v>2008 Q1</v>
      </c>
      <c r="AQ77" t="str">
        <f>IF(LEN($AQ$76)&lt;&gt;8,$AQ$76,RIGHT($AQ$76,4)&amp;" "&amp;MID($AQ$76,3,1)&amp;LEFT($AQ$76,1))</f>
        <v>2007 Q4</v>
      </c>
      <c r="AR77" t="str">
        <f>IF(LEN($AR$76)&lt;&gt;8,$AR$76,RIGHT($AR$76,4)&amp;" "&amp;MID($AR$76,3,1)&amp;LEFT($AR$76,1))</f>
        <v>2007 Q3</v>
      </c>
      <c r="AS77" t="str">
        <f>IF(LEN($AS$76)&lt;&gt;8,$AS$76,RIGHT($AS$76,4)&amp;" "&amp;MID($AS$76,3,1)&amp;LEFT($AS$76,1))</f>
        <v>2007 Q2</v>
      </c>
      <c r="AT77" t="str">
        <f>IF(LEN($AT$76)&lt;&gt;8,$AT$76,RIGHT($AT$76,4)&amp;" "&amp;MID($AT$76,3,1)&amp;LEFT($AT$76,1))</f>
        <v>2007 Q1</v>
      </c>
      <c r="AU77" t="str">
        <f>IF(LEN($AU$76)&lt;&gt;8,$AU$76,RIGHT($AU$76,4)&amp;" "&amp;MID($AU$76,3,1)&amp;LEFT($AU$76,1))</f>
        <v>2006 Q4</v>
      </c>
      <c r="AV77" t="str">
        <f>IF(LEN($AV$76)&lt;&gt;8,$AV$76,RIGHT($AV$76,4)&amp;" "&amp;MID($AV$76,3,1)&amp;LEFT($AV$76,1))</f>
        <v>2006 Q3</v>
      </c>
      <c r="AW77" t="str">
        <f>IF(LEN($AW$76)&lt;&gt;8,$AW$76,RIGHT($AW$76,4)&amp;" "&amp;MID($AW$76,3,1)&amp;LEFT($AW$76,1))</f>
        <v>2006 Q2</v>
      </c>
      <c r="AX77" t="str">
        <f>IF(LEN($AX$76)&lt;&gt;8,$AX$76,RIGHT($AX$76,4)&amp;" "&amp;MID($AX$76,3,1)&amp;LEFT($AX$76,1))</f>
        <v>2006 Q1</v>
      </c>
      <c r="AY77" t="str">
        <f>IF(LEN($AY$76)&lt;&gt;8,$AY$76,RIGHT($AY$76,4)&amp;" "&amp;MID($AY$76,3,1)&amp;LEFT($AY$76,1))</f>
        <v>2005 Q4</v>
      </c>
      <c r="AZ77" t="str">
        <f>IF(LEN($AZ$76)&lt;&gt;8,$AZ$76,RIGHT($AZ$76,4)&amp;" "&amp;MID($AZ$76,3,1)&amp;LEFT($AZ$76,1))</f>
        <v>2005 Q3</v>
      </c>
      <c r="BA77" t="str">
        <f>IF(LEN($BA$76)&lt;&gt;8,$BA$76,RIGHT($BA$76,4)&amp;" "&amp;MID($BA$76,3,1)&amp;LEFT($BA$76,1))</f>
        <v>2005 Q2</v>
      </c>
      <c r="BB77" t="str">
        <f>IF(LEN($BB$76)&lt;&gt;8,$BB$76,RIGHT($BB$76,4)&amp;" "&amp;MID($BB$76,3,1)&amp;LEFT($BB$76,1))</f>
        <v>2005 Q1</v>
      </c>
      <c r="BC77" t="str">
        <f>IF(LEN($BC$76)&lt;&gt;8,$BC$76,RIGHT($BC$76,4)&amp;" "&amp;MID($BC$76,3,1)&amp;LEFT($BC$76,1))</f>
        <v>2004 Q4</v>
      </c>
      <c r="BD77" t="str">
        <f>IF(LEN($BD$76)&lt;&gt;8,$BD$76,RIGHT($BD$76,4)&amp;" "&amp;MID($BD$76,3,1)&amp;LEFT($BD$76,1))</f>
        <v>2004 Q3</v>
      </c>
      <c r="BE77" t="str">
        <f>IF(LEN($BE$76)&lt;&gt;8,$BE$76,RIGHT($BE$76,4)&amp;" "&amp;MID($BE$76,3,1)&amp;LEFT($BE$76,1))</f>
        <v>2004 Q2</v>
      </c>
      <c r="BF77" t="str">
        <f>IF(LEN($BF$76)&lt;&gt;8,$BF$76,RIGHT($BF$76,4)&amp;" "&amp;MID($BF$76,3,1)&amp;LEFT($BF$76,1))</f>
        <v>2004 Q1</v>
      </c>
      <c r="BG77" t="str">
        <f>IF(LEN($BG$76)&lt;&gt;8,$BG$76,RIGHT($BG$76,4)&amp;" "&amp;MID($BG$76,3,1)&amp;LEFT($BG$76,1))</f>
        <v>2003 Q4</v>
      </c>
      <c r="BH77" t="str">
        <f>IF(LEN($BH$76)&lt;&gt;8,$BH$76,RIGHT($BH$76,4)&amp;" "&amp;MID($BH$76,3,1)&amp;LEFT($BH$76,1))</f>
        <v>2003 Q3</v>
      </c>
      <c r="BI77" t="str">
        <f>IF(LEN($BI$76)&lt;&gt;8,$BI$76,RIGHT($BI$76,4)&amp;" "&amp;MID($BI$76,3,1)&amp;LEFT($BI$76,1))</f>
        <v>2003 Q2</v>
      </c>
      <c r="BJ77" t="str">
        <f>IF(LEN($BJ$76)&lt;&gt;8,$BJ$76,RIGHT($BJ$76,4)&amp;" "&amp;MID($BJ$76,3,1)&amp;LEFT($BJ$76,1))</f>
        <v>2003 Q1</v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</row>
    <row r="78" spans="1:125">
      <c r="A78" t="str">
        <f>"BDH dynamic header0"</f>
        <v>BDH dynamic header0</v>
      </c>
      <c r="B78">
        <f ca="1">IF(OR(ISERROR($C$78),ISBLANK($C$78),ISNUMBER(SEARCH("N/A",$C$78) ),ISERROR($C$79),ISBLANK($C$79)),0,1)</f>
        <v>0</v>
      </c>
      <c r="C78" t="str">
        <f ca="1">BDH($B$4,$C$4,$B$37,$B$38,"PER=CQ","Dts=S","DtFmt=FI", "rows=2","Dir=H","Points=60","Sort=R","Days=A","Fill=B","FX=USD" )</f>
        <v>#N/A Authorization</v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>
      <c r="A79" t="str">
        <f>"BDH dynamic result0"</f>
        <v>BDH dynamic result0</v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>
      <c r="A80" t="str">
        <f>"BDH dynamic header1"</f>
        <v>BDH dynamic header1</v>
      </c>
      <c r="B80">
        <f ca="1">IF(OR(ISERROR($C$80),ISBLANK($C$80),ISNUMBER(SEARCH("N/A",$C$80) ),ISERROR($C$81),ISBLANK($C$81)),0,1)</f>
        <v>0</v>
      </c>
      <c r="C80" t="str">
        <f ca="1">BDH($B$5,$C$5,$B$37,$B$38,"PER=CQ","Dts=S","DtFmt=FI", "rows=2","Dir=H","Points=60","Sort=R","Days=A","Fill=B","FX=USD" )</f>
        <v>#N/A Authorization</v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  <c r="CI80" t="str">
        <f>""</f>
        <v/>
      </c>
      <c r="CJ80" t="str">
        <f>""</f>
        <v/>
      </c>
      <c r="CK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"BDH dynamic result1"</f>
        <v>BDH dynamic result1</v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>
      <c r="A82" t="str">
        <f>"BDH dynamic header2"</f>
        <v>BDH dynamic header2</v>
      </c>
      <c r="B82">
        <f ca="1">IF(OR(ISERROR($C$82),ISBLANK($C$82),ISNUMBER(SEARCH("N/A",$C$82) ),ISERROR($C$83),ISBLANK($C$83)),0,1)</f>
        <v>0</v>
      </c>
      <c r="C82" t="str">
        <f ca="1">BDH($B$6,$C$6,$B$37,$B$38,"PER=CQ","Dts=S","DtFmt=FI", "rows=2","Dir=H","Points=60","Sort=R","Days=A","Fill=B","FX=USD" )</f>
        <v>#N/A Authorization</v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  <c r="CI82" t="str">
        <f>""</f>
        <v/>
      </c>
      <c r="CJ82" t="str">
        <f>""</f>
        <v/>
      </c>
      <c r="CK82" t="str">
        <f>""</f>
        <v/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>
      <c r="A83" t="str">
        <f>"BDH dynamic result2"</f>
        <v>BDH dynamic result2</v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>
      <c r="A84" t="str">
        <f>"BDH dynamic"</f>
        <v>BDH dynamic</v>
      </c>
      <c r="B84">
        <f ca="1">IF($B$78&gt;=1,$B$78,IF($B$80&gt;=1,$B$80,IF($B$82&gt;=1,$B$82,$B$69)))</f>
        <v>2</v>
      </c>
      <c r="C84" t="str">
        <f ca="1">IF($B$78&gt;=1,$C$78,IF($B$80&gt;=1,$C$80,IF($B$82&gt;=1,$C$82,$C$69)))</f>
        <v>2017 Q4</v>
      </c>
      <c r="D84" t="str">
        <f ca="1">IF($B$78&gt;=1,$D$78,IF($B$80&gt;=1,$D$80,IF($B$82&gt;=1,$D$82,$D$69)))</f>
        <v>2017 Q3</v>
      </c>
      <c r="E84" t="str">
        <f ca="1">IF($B$78&gt;=1,$E$78,IF($B$80&gt;=1,$E$80,IF($B$82&gt;=1,$E$82,$E$69)))</f>
        <v>2017 Q2</v>
      </c>
      <c r="F84" t="str">
        <f ca="1">IF($B$78&gt;=1,$F$78,IF($B$80&gt;=1,$F$80,IF($B$82&gt;=1,$F$82,$F$69)))</f>
        <v>2017 Q1</v>
      </c>
      <c r="G84" t="str">
        <f ca="1">IF($B$78&gt;=1,$G$78,IF($B$80&gt;=1,$G$80,IF($B$82&gt;=1,$G$82,$G$69)))</f>
        <v>2016 Q4</v>
      </c>
      <c r="H84" t="str">
        <f ca="1">IF($B$78&gt;=1,$H$78,IF($B$80&gt;=1,$H$80,IF($B$82&gt;=1,$H$82,$H$69)))</f>
        <v>2016 Q3</v>
      </c>
      <c r="I84" t="str">
        <f ca="1">IF($B$78&gt;=1,$I$78,IF($B$80&gt;=1,$I$80,IF($B$82&gt;=1,$I$82,$I$69)))</f>
        <v>2016 Q2</v>
      </c>
      <c r="J84" t="str">
        <f ca="1">IF($B$78&gt;=1,$J$78,IF($B$80&gt;=1,$J$80,IF($B$82&gt;=1,$J$82,$J$69)))</f>
        <v>2016 Q1</v>
      </c>
      <c r="K84" t="str">
        <f ca="1">IF($B$78&gt;=1,$K$78,IF($B$80&gt;=1,$K$80,IF($B$82&gt;=1,$K$82,$K$69)))</f>
        <v>2015 Q4</v>
      </c>
      <c r="L84" t="str">
        <f ca="1">IF($B$78&gt;=1,$L$78,IF($B$80&gt;=1,$L$80,IF($B$82&gt;=1,$L$82,$L$69)))</f>
        <v>2015 Q3</v>
      </c>
      <c r="M84" t="str">
        <f ca="1">IF($B$78&gt;=1,$M$78,IF($B$80&gt;=1,$M$80,IF($B$82&gt;=1,$M$82,$M$69)))</f>
        <v>2015 Q2</v>
      </c>
      <c r="N84" t="str">
        <f ca="1">IF($B$78&gt;=1,$N$78,IF($B$80&gt;=1,$N$80,IF($B$82&gt;=1,$N$82,$N$69)))</f>
        <v>2015 Q1</v>
      </c>
      <c r="O84" t="str">
        <f ca="1">IF($B$78&gt;=1,$O$78,IF($B$80&gt;=1,$O$80,IF($B$82&gt;=1,$O$82,$O$69)))</f>
        <v>2014 Q4</v>
      </c>
      <c r="P84" t="str">
        <f ca="1">IF($B$78&gt;=1,$P$78,IF($B$80&gt;=1,$P$80,IF($B$82&gt;=1,$P$82,$P$69)))</f>
        <v>2014 Q3</v>
      </c>
      <c r="Q84" t="str">
        <f ca="1">IF($B$78&gt;=1,$Q$78,IF($B$80&gt;=1,$Q$80,IF($B$82&gt;=1,$Q$82,$Q$69)))</f>
        <v>2014 Q2</v>
      </c>
      <c r="R84" t="str">
        <f ca="1">IF($B$78&gt;=1,$R$78,IF($B$80&gt;=1,$R$80,IF($B$82&gt;=1,$R$82,$R$69)))</f>
        <v>2014 Q1</v>
      </c>
      <c r="S84" t="str">
        <f ca="1">IF($B$78&gt;=1,$S$78,IF($B$80&gt;=1,$S$80,IF($B$82&gt;=1,$S$82,$S$69)))</f>
        <v>2013 Q4</v>
      </c>
      <c r="T84" t="str">
        <f ca="1">IF($B$78&gt;=1,$T$78,IF($B$80&gt;=1,$T$80,IF($B$82&gt;=1,$T$82,$T$69)))</f>
        <v>2013 Q3</v>
      </c>
      <c r="U84" t="str">
        <f ca="1">IF($B$78&gt;=1,$U$78,IF($B$80&gt;=1,$U$80,IF($B$82&gt;=1,$U$82,$U$69)))</f>
        <v>2013 Q2</v>
      </c>
      <c r="V84" t="str">
        <f ca="1">IF($B$78&gt;=1,$V$78,IF($B$80&gt;=1,$V$80,IF($B$82&gt;=1,$V$82,$V$69)))</f>
        <v>2013 Q1</v>
      </c>
      <c r="W84" t="str">
        <f ca="1">IF($B$78&gt;=1,$W$78,IF($B$80&gt;=1,$W$80,IF($B$82&gt;=1,$W$82,$W$69)))</f>
        <v>2012 Q4</v>
      </c>
      <c r="X84" t="str">
        <f ca="1">IF($B$78&gt;=1,$X$78,IF($B$80&gt;=1,$X$80,IF($B$82&gt;=1,$X$82,$X$69)))</f>
        <v>2012 Q3</v>
      </c>
      <c r="Y84" t="str">
        <f ca="1">IF($B$78&gt;=1,$Y$78,IF($B$80&gt;=1,$Y$80,IF($B$82&gt;=1,$Y$82,$Y$69)))</f>
        <v>2012 Q2</v>
      </c>
      <c r="Z84" t="str">
        <f ca="1">IF($B$78&gt;=1,$Z$78,IF($B$80&gt;=1,$Z$80,IF($B$82&gt;=1,$Z$82,$Z$69)))</f>
        <v>2012 Q1</v>
      </c>
      <c r="AA84" t="str">
        <f ca="1">IF($B$78&gt;=1,$AA$78,IF($B$80&gt;=1,$AA$80,IF($B$82&gt;=1,$AA$82,$AA$69)))</f>
        <v>2011 Q4</v>
      </c>
      <c r="AB84" t="str">
        <f ca="1">IF($B$78&gt;=1,$AB$78,IF($B$80&gt;=1,$AB$80,IF($B$82&gt;=1,$AB$82,$AB$69)))</f>
        <v>2011 Q3</v>
      </c>
      <c r="AC84" t="str">
        <f ca="1">IF($B$78&gt;=1,$AC$78,IF($B$80&gt;=1,$AC$80,IF($B$82&gt;=1,$AC$82,$AC$69)))</f>
        <v>2011 Q2</v>
      </c>
      <c r="AD84" t="str">
        <f ca="1">IF($B$78&gt;=1,$AD$78,IF($B$80&gt;=1,$AD$80,IF($B$82&gt;=1,$AD$82,$AD$69)))</f>
        <v>2011 Q1</v>
      </c>
      <c r="AE84" t="str">
        <f ca="1">IF($B$78&gt;=1,$AE$78,IF($B$80&gt;=1,$AE$80,IF($B$82&gt;=1,$AE$82,$AE$69)))</f>
        <v>2010 Q4</v>
      </c>
      <c r="AF84" t="str">
        <f ca="1">IF($B$78&gt;=1,$AF$78,IF($B$80&gt;=1,$AF$80,IF($B$82&gt;=1,$AF$82,$AF$69)))</f>
        <v>2010 Q3</v>
      </c>
      <c r="AG84" t="str">
        <f ca="1">IF($B$78&gt;=1,$AG$78,IF($B$80&gt;=1,$AG$80,IF($B$82&gt;=1,$AG$82,$AG$69)))</f>
        <v>2010 Q2</v>
      </c>
      <c r="AH84" t="str">
        <f ca="1">IF($B$78&gt;=1,$AH$78,IF($B$80&gt;=1,$AH$80,IF($B$82&gt;=1,$AH$82,$AH$69)))</f>
        <v>2010 Q1</v>
      </c>
      <c r="AI84" t="str">
        <f ca="1">IF($B$78&gt;=1,$AI$78,IF($B$80&gt;=1,$AI$80,IF($B$82&gt;=1,$AI$82,$AI$69)))</f>
        <v>2009 Q4</v>
      </c>
      <c r="AJ84" t="str">
        <f ca="1">IF($B$78&gt;=1,$AJ$78,IF($B$80&gt;=1,$AJ$80,IF($B$82&gt;=1,$AJ$82,$AJ$69)))</f>
        <v>2009 Q3</v>
      </c>
      <c r="AK84" t="str">
        <f ca="1">IF($B$78&gt;=1,$AK$78,IF($B$80&gt;=1,$AK$80,IF($B$82&gt;=1,$AK$82,$AK$69)))</f>
        <v>2009 Q2</v>
      </c>
      <c r="AL84" t="str">
        <f ca="1">IF($B$78&gt;=1,$AL$78,IF($B$80&gt;=1,$AL$80,IF($B$82&gt;=1,$AL$82,$AL$69)))</f>
        <v>2009 Q1</v>
      </c>
      <c r="AM84" t="str">
        <f ca="1">IF($B$78&gt;=1,$AM$78,IF($B$80&gt;=1,$AM$80,IF($B$82&gt;=1,$AM$82,$AM$69)))</f>
        <v>2008 Q4</v>
      </c>
      <c r="AN84" t="str">
        <f ca="1">IF($B$78&gt;=1,$AN$78,IF($B$80&gt;=1,$AN$80,IF($B$82&gt;=1,$AN$82,$AN$69)))</f>
        <v>2008 Q3</v>
      </c>
      <c r="AO84" t="str">
        <f ca="1">IF($B$78&gt;=1,$AO$78,IF($B$80&gt;=1,$AO$80,IF($B$82&gt;=1,$AO$82,$AO$69)))</f>
        <v>2008 Q2</v>
      </c>
      <c r="AP84" t="str">
        <f ca="1">IF($B$78&gt;=1,$AP$78,IF($B$80&gt;=1,$AP$80,IF($B$82&gt;=1,$AP$82,$AP$69)))</f>
        <v>2008 Q1</v>
      </c>
      <c r="AQ84" t="str">
        <f ca="1">IF($B$78&gt;=1,$AQ$78,IF($B$80&gt;=1,$AQ$80,IF($B$82&gt;=1,$AQ$82,$AQ$69)))</f>
        <v>2007 Q4</v>
      </c>
      <c r="AR84" t="str">
        <f ca="1">IF($B$78&gt;=1,$AR$78,IF($B$80&gt;=1,$AR$80,IF($B$82&gt;=1,$AR$82,$AR$69)))</f>
        <v>2007 Q3</v>
      </c>
      <c r="AS84" t="str">
        <f ca="1">IF($B$78&gt;=1,$AS$78,IF($B$80&gt;=1,$AS$80,IF($B$82&gt;=1,$AS$82,$AS$69)))</f>
        <v>2007 Q2</v>
      </c>
      <c r="AT84" t="str">
        <f ca="1">IF($B$78&gt;=1,$AT$78,IF($B$80&gt;=1,$AT$80,IF($B$82&gt;=1,$AT$82,$AT$69)))</f>
        <v>2007 Q1</v>
      </c>
      <c r="AU84" t="str">
        <f ca="1">IF($B$78&gt;=1,$AU$78,IF($B$80&gt;=1,$AU$80,IF($B$82&gt;=1,$AU$82,$AU$69)))</f>
        <v>2006 Q4</v>
      </c>
      <c r="AV84" t="str">
        <f ca="1">IF($B$78&gt;=1,$AV$78,IF($B$80&gt;=1,$AV$80,IF($B$82&gt;=1,$AV$82,$AV$69)))</f>
        <v>2006 Q3</v>
      </c>
      <c r="AW84" t="str">
        <f ca="1">IF($B$78&gt;=1,$AW$78,IF($B$80&gt;=1,$AW$80,IF($B$82&gt;=1,$AW$82,$AW$69)))</f>
        <v>2006 Q2</v>
      </c>
      <c r="AX84" t="str">
        <f ca="1">IF($B$78&gt;=1,$AX$78,IF($B$80&gt;=1,$AX$80,IF($B$82&gt;=1,$AX$82,$AX$69)))</f>
        <v>2006 Q1</v>
      </c>
      <c r="AY84" t="str">
        <f ca="1">IF($B$78&gt;=1,$AY$78,IF($B$80&gt;=1,$AY$80,IF($B$82&gt;=1,$AY$82,$AY$69)))</f>
        <v>2005 Q4</v>
      </c>
      <c r="AZ84" t="str">
        <f ca="1">IF($B$78&gt;=1,$AZ$78,IF($B$80&gt;=1,$AZ$80,IF($B$82&gt;=1,$AZ$82,$AZ$69)))</f>
        <v>2005 Q3</v>
      </c>
      <c r="BA84" t="str">
        <f ca="1">IF($B$78&gt;=1,$BA$78,IF($B$80&gt;=1,$BA$80,IF($B$82&gt;=1,$BA$82,$BA$69)))</f>
        <v>2005 Q2</v>
      </c>
      <c r="BB84" t="str">
        <f ca="1">IF($B$78&gt;=1,$BB$78,IF($B$80&gt;=1,$BB$80,IF($B$82&gt;=1,$BB$82,$BB$69)))</f>
        <v>2005 Q1</v>
      </c>
      <c r="BC84" t="str">
        <f ca="1">IF($B$78&gt;=1,$BC$78,IF($B$80&gt;=1,$BC$80,IF($B$82&gt;=1,$BC$82,$BC$69)))</f>
        <v>2004 Q4</v>
      </c>
      <c r="BD84" t="str">
        <f ca="1">IF($B$78&gt;=1,$BD$78,IF($B$80&gt;=1,$BD$80,IF($B$82&gt;=1,$BD$82,$BD$69)))</f>
        <v>2004 Q3</v>
      </c>
      <c r="BE84" t="str">
        <f ca="1">IF($B$78&gt;=1,$BE$78,IF($B$80&gt;=1,$BE$80,IF($B$82&gt;=1,$BE$82,$BE$69)))</f>
        <v>2004 Q2</v>
      </c>
      <c r="BF84" t="str">
        <f ca="1">IF($B$78&gt;=1,$BF$78,IF($B$80&gt;=1,$BF$80,IF($B$82&gt;=1,$BF$82,$BF$69)))</f>
        <v>2004 Q1</v>
      </c>
      <c r="BG84" t="str">
        <f ca="1">IF($B$78&gt;=1,$BG$78,IF($B$80&gt;=1,$BG$80,IF($B$82&gt;=1,$BG$82,$BG$69)))</f>
        <v>2003 Q4</v>
      </c>
      <c r="BH84" t="str">
        <f ca="1">IF($B$78&gt;=1,$BH$78,IF($B$80&gt;=1,$BH$80,IF($B$82&gt;=1,$BH$82,$BH$69)))</f>
        <v>2003 Q3</v>
      </c>
      <c r="BI84" t="str">
        <f ca="1">IF($B$78&gt;=1,$BI$78,IF($B$80&gt;=1,$BI$80,IF($B$82&gt;=1,$BI$82,$BI$69)))</f>
        <v>2003 Q2</v>
      </c>
      <c r="BJ84" t="str">
        <f ca="1">IF($B$78&gt;=1,$BJ$78,IF($B$80&gt;=1,$BJ$80,IF($B$82&gt;=1,$BJ$82,$BJ$69)))</f>
        <v>2003 Q1</v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>
      <c r="A85" t="str">
        <f>"BDH dynamic title"</f>
        <v>BDH dynamic title</v>
      </c>
      <c r="B85">
        <f ca="1">$B$84</f>
        <v>2</v>
      </c>
      <c r="C85" t="str">
        <f ca="1">IF(LEN($C$84)&lt;&gt;8,$C$84,RIGHT($C$84,4)&amp;" "&amp;MID($C$84,3,1)&amp;LEFT($C$84,1))</f>
        <v>2017 Q4</v>
      </c>
      <c r="D85" t="str">
        <f ca="1">IF(LEN($D$84)&lt;&gt;8,$D$84,RIGHT($D$84,4)&amp;" "&amp;MID($D$84,3,1)&amp;LEFT($D$84,1))</f>
        <v>2017 Q3</v>
      </c>
      <c r="E85" t="str">
        <f ca="1">IF(LEN($E$84)&lt;&gt;8,$E$84,RIGHT($E$84,4)&amp;" "&amp;MID($E$84,3,1)&amp;LEFT($E$84,1))</f>
        <v>2017 Q2</v>
      </c>
      <c r="F85" t="str">
        <f ca="1">IF(LEN($F$84)&lt;&gt;8,$F$84,RIGHT($F$84,4)&amp;" "&amp;MID($F$84,3,1)&amp;LEFT($F$84,1))</f>
        <v>2017 Q1</v>
      </c>
      <c r="G85" t="str">
        <f ca="1">IF(LEN($G$84)&lt;&gt;8,$G$84,RIGHT($G$84,4)&amp;" "&amp;MID($G$84,3,1)&amp;LEFT($G$84,1))</f>
        <v>2016 Q4</v>
      </c>
      <c r="H85" t="str">
        <f ca="1">IF(LEN($H$84)&lt;&gt;8,$H$84,RIGHT($H$84,4)&amp;" "&amp;MID($H$84,3,1)&amp;LEFT($H$84,1))</f>
        <v>2016 Q3</v>
      </c>
      <c r="I85" t="str">
        <f ca="1">IF(LEN($I$84)&lt;&gt;8,$I$84,RIGHT($I$84,4)&amp;" "&amp;MID($I$84,3,1)&amp;LEFT($I$84,1))</f>
        <v>2016 Q2</v>
      </c>
      <c r="J85" t="str">
        <f ca="1">IF(LEN($J$84)&lt;&gt;8,$J$84,RIGHT($J$84,4)&amp;" "&amp;MID($J$84,3,1)&amp;LEFT($J$84,1))</f>
        <v>2016 Q1</v>
      </c>
      <c r="K85" t="str">
        <f ca="1">IF(LEN($K$84)&lt;&gt;8,$K$84,RIGHT($K$84,4)&amp;" "&amp;MID($K$84,3,1)&amp;LEFT($K$84,1))</f>
        <v>2015 Q4</v>
      </c>
      <c r="L85" t="str">
        <f ca="1">IF(LEN($L$84)&lt;&gt;8,$L$84,RIGHT($L$84,4)&amp;" "&amp;MID($L$84,3,1)&amp;LEFT($L$84,1))</f>
        <v>2015 Q3</v>
      </c>
      <c r="M85" t="str">
        <f ca="1">IF(LEN($M$84)&lt;&gt;8,$M$84,RIGHT($M$84,4)&amp;" "&amp;MID($M$84,3,1)&amp;LEFT($M$84,1))</f>
        <v>2015 Q2</v>
      </c>
      <c r="N85" t="str">
        <f ca="1">IF(LEN($N$84)&lt;&gt;8,$N$84,RIGHT($N$84,4)&amp;" "&amp;MID($N$84,3,1)&amp;LEFT($N$84,1))</f>
        <v>2015 Q1</v>
      </c>
      <c r="O85" t="str">
        <f ca="1">IF(LEN($O$84)&lt;&gt;8,$O$84,RIGHT($O$84,4)&amp;" "&amp;MID($O$84,3,1)&amp;LEFT($O$84,1))</f>
        <v>2014 Q4</v>
      </c>
      <c r="P85" t="str">
        <f ca="1">IF(LEN($P$84)&lt;&gt;8,$P$84,RIGHT($P$84,4)&amp;" "&amp;MID($P$84,3,1)&amp;LEFT($P$84,1))</f>
        <v>2014 Q3</v>
      </c>
      <c r="Q85" t="str">
        <f ca="1">IF(LEN($Q$84)&lt;&gt;8,$Q$84,RIGHT($Q$84,4)&amp;" "&amp;MID($Q$84,3,1)&amp;LEFT($Q$84,1))</f>
        <v>2014 Q2</v>
      </c>
      <c r="R85" t="str">
        <f ca="1">IF(LEN($R$84)&lt;&gt;8,$R$84,RIGHT($R$84,4)&amp;" "&amp;MID($R$84,3,1)&amp;LEFT($R$84,1))</f>
        <v>2014 Q1</v>
      </c>
      <c r="S85" t="str">
        <f ca="1">IF(LEN($S$84)&lt;&gt;8,$S$84,RIGHT($S$84,4)&amp;" "&amp;MID($S$84,3,1)&amp;LEFT($S$84,1))</f>
        <v>2013 Q4</v>
      </c>
      <c r="T85" t="str">
        <f ca="1">IF(LEN($T$84)&lt;&gt;8,$T$84,RIGHT($T$84,4)&amp;" "&amp;MID($T$84,3,1)&amp;LEFT($T$84,1))</f>
        <v>2013 Q3</v>
      </c>
      <c r="U85" t="str">
        <f ca="1">IF(LEN($U$84)&lt;&gt;8,$U$84,RIGHT($U$84,4)&amp;" "&amp;MID($U$84,3,1)&amp;LEFT($U$84,1))</f>
        <v>2013 Q2</v>
      </c>
      <c r="V85" t="str">
        <f ca="1">IF(LEN($V$84)&lt;&gt;8,$V$84,RIGHT($V$84,4)&amp;" "&amp;MID($V$84,3,1)&amp;LEFT($V$84,1))</f>
        <v>2013 Q1</v>
      </c>
      <c r="W85" t="str">
        <f ca="1">IF(LEN($W$84)&lt;&gt;8,$W$84,RIGHT($W$84,4)&amp;" "&amp;MID($W$84,3,1)&amp;LEFT($W$84,1))</f>
        <v>2012 Q4</v>
      </c>
      <c r="X85" t="str">
        <f ca="1">IF(LEN($X$84)&lt;&gt;8,$X$84,RIGHT($X$84,4)&amp;" "&amp;MID($X$84,3,1)&amp;LEFT($X$84,1))</f>
        <v>2012 Q3</v>
      </c>
      <c r="Y85" t="str">
        <f ca="1">IF(LEN($Y$84)&lt;&gt;8,$Y$84,RIGHT($Y$84,4)&amp;" "&amp;MID($Y$84,3,1)&amp;LEFT($Y$84,1))</f>
        <v>2012 Q2</v>
      </c>
      <c r="Z85" t="str">
        <f ca="1">IF(LEN($Z$84)&lt;&gt;8,$Z$84,RIGHT($Z$84,4)&amp;" "&amp;MID($Z$84,3,1)&amp;LEFT($Z$84,1))</f>
        <v>2012 Q1</v>
      </c>
      <c r="AA85" t="str">
        <f ca="1">IF(LEN($AA$84)&lt;&gt;8,$AA$84,RIGHT($AA$84,4)&amp;" "&amp;MID($AA$84,3,1)&amp;LEFT($AA$84,1))</f>
        <v>2011 Q4</v>
      </c>
      <c r="AB85" t="str">
        <f ca="1">IF(LEN($AB$84)&lt;&gt;8,$AB$84,RIGHT($AB$84,4)&amp;" "&amp;MID($AB$84,3,1)&amp;LEFT($AB$84,1))</f>
        <v>2011 Q3</v>
      </c>
      <c r="AC85" t="str">
        <f ca="1">IF(LEN($AC$84)&lt;&gt;8,$AC$84,RIGHT($AC$84,4)&amp;" "&amp;MID($AC$84,3,1)&amp;LEFT($AC$84,1))</f>
        <v>2011 Q2</v>
      </c>
      <c r="AD85" t="str">
        <f ca="1">IF(LEN($AD$84)&lt;&gt;8,$AD$84,RIGHT($AD$84,4)&amp;" "&amp;MID($AD$84,3,1)&amp;LEFT($AD$84,1))</f>
        <v>2011 Q1</v>
      </c>
      <c r="AE85" t="str">
        <f ca="1">IF(LEN($AE$84)&lt;&gt;8,$AE$84,RIGHT($AE$84,4)&amp;" "&amp;MID($AE$84,3,1)&amp;LEFT($AE$84,1))</f>
        <v>2010 Q4</v>
      </c>
      <c r="AF85" t="str">
        <f ca="1">IF(LEN($AF$84)&lt;&gt;8,$AF$84,RIGHT($AF$84,4)&amp;" "&amp;MID($AF$84,3,1)&amp;LEFT($AF$84,1))</f>
        <v>2010 Q3</v>
      </c>
      <c r="AG85" t="str">
        <f ca="1">IF(LEN($AG$84)&lt;&gt;8,$AG$84,RIGHT($AG$84,4)&amp;" "&amp;MID($AG$84,3,1)&amp;LEFT($AG$84,1))</f>
        <v>2010 Q2</v>
      </c>
      <c r="AH85" t="str">
        <f ca="1">IF(LEN($AH$84)&lt;&gt;8,$AH$84,RIGHT($AH$84,4)&amp;" "&amp;MID($AH$84,3,1)&amp;LEFT($AH$84,1))</f>
        <v>2010 Q1</v>
      </c>
      <c r="AI85" t="str">
        <f ca="1">IF(LEN($AI$84)&lt;&gt;8,$AI$84,RIGHT($AI$84,4)&amp;" "&amp;MID($AI$84,3,1)&amp;LEFT($AI$84,1))</f>
        <v>2009 Q4</v>
      </c>
      <c r="AJ85" t="str">
        <f ca="1">IF(LEN($AJ$84)&lt;&gt;8,$AJ$84,RIGHT($AJ$84,4)&amp;" "&amp;MID($AJ$84,3,1)&amp;LEFT($AJ$84,1))</f>
        <v>2009 Q3</v>
      </c>
      <c r="AK85" t="str">
        <f ca="1">IF(LEN($AK$84)&lt;&gt;8,$AK$84,RIGHT($AK$84,4)&amp;" "&amp;MID($AK$84,3,1)&amp;LEFT($AK$84,1))</f>
        <v>2009 Q2</v>
      </c>
      <c r="AL85" t="str">
        <f ca="1">IF(LEN($AL$84)&lt;&gt;8,$AL$84,RIGHT($AL$84,4)&amp;" "&amp;MID($AL$84,3,1)&amp;LEFT($AL$84,1))</f>
        <v>2009 Q1</v>
      </c>
      <c r="AM85" t="str">
        <f ca="1">IF(LEN($AM$84)&lt;&gt;8,$AM$84,RIGHT($AM$84,4)&amp;" "&amp;MID($AM$84,3,1)&amp;LEFT($AM$84,1))</f>
        <v>2008 Q4</v>
      </c>
      <c r="AN85" t="str">
        <f ca="1">IF(LEN($AN$84)&lt;&gt;8,$AN$84,RIGHT($AN$84,4)&amp;" "&amp;MID($AN$84,3,1)&amp;LEFT($AN$84,1))</f>
        <v>2008 Q3</v>
      </c>
      <c r="AO85" t="str">
        <f ca="1">IF(LEN($AO$84)&lt;&gt;8,$AO$84,RIGHT($AO$84,4)&amp;" "&amp;MID($AO$84,3,1)&amp;LEFT($AO$84,1))</f>
        <v>2008 Q2</v>
      </c>
      <c r="AP85" t="str">
        <f ca="1">IF(LEN($AP$84)&lt;&gt;8,$AP$84,RIGHT($AP$84,4)&amp;" "&amp;MID($AP$84,3,1)&amp;LEFT($AP$84,1))</f>
        <v>2008 Q1</v>
      </c>
      <c r="AQ85" t="str">
        <f ca="1">IF(LEN($AQ$84)&lt;&gt;8,$AQ$84,RIGHT($AQ$84,4)&amp;" "&amp;MID($AQ$84,3,1)&amp;LEFT($AQ$84,1))</f>
        <v>2007 Q4</v>
      </c>
      <c r="AR85" t="str">
        <f ca="1">IF(LEN($AR$84)&lt;&gt;8,$AR$84,RIGHT($AR$84,4)&amp;" "&amp;MID($AR$84,3,1)&amp;LEFT($AR$84,1))</f>
        <v>2007 Q3</v>
      </c>
      <c r="AS85" t="str">
        <f ca="1">IF(LEN($AS$84)&lt;&gt;8,$AS$84,RIGHT($AS$84,4)&amp;" "&amp;MID($AS$84,3,1)&amp;LEFT($AS$84,1))</f>
        <v>2007 Q2</v>
      </c>
      <c r="AT85" t="str">
        <f ca="1">IF(LEN($AT$84)&lt;&gt;8,$AT$84,RIGHT($AT$84,4)&amp;" "&amp;MID($AT$84,3,1)&amp;LEFT($AT$84,1))</f>
        <v>2007 Q1</v>
      </c>
      <c r="AU85" t="str">
        <f ca="1">IF(LEN($AU$84)&lt;&gt;8,$AU$84,RIGHT($AU$84,4)&amp;" "&amp;MID($AU$84,3,1)&amp;LEFT($AU$84,1))</f>
        <v>2006 Q4</v>
      </c>
      <c r="AV85" t="str">
        <f ca="1">IF(LEN($AV$84)&lt;&gt;8,$AV$84,RIGHT($AV$84,4)&amp;" "&amp;MID($AV$84,3,1)&amp;LEFT($AV$84,1))</f>
        <v>2006 Q3</v>
      </c>
      <c r="AW85" t="str">
        <f ca="1">IF(LEN($AW$84)&lt;&gt;8,$AW$84,RIGHT($AW$84,4)&amp;" "&amp;MID($AW$84,3,1)&amp;LEFT($AW$84,1))</f>
        <v>2006 Q2</v>
      </c>
      <c r="AX85" t="str">
        <f ca="1">IF(LEN($AX$84)&lt;&gt;8,$AX$84,RIGHT($AX$84,4)&amp;" "&amp;MID($AX$84,3,1)&amp;LEFT($AX$84,1))</f>
        <v>2006 Q1</v>
      </c>
      <c r="AY85" t="str">
        <f ca="1">IF(LEN($AY$84)&lt;&gt;8,$AY$84,RIGHT($AY$84,4)&amp;" "&amp;MID($AY$84,3,1)&amp;LEFT($AY$84,1))</f>
        <v>2005 Q4</v>
      </c>
      <c r="AZ85" t="str">
        <f ca="1">IF(LEN($AZ$84)&lt;&gt;8,$AZ$84,RIGHT($AZ$84,4)&amp;" "&amp;MID($AZ$84,3,1)&amp;LEFT($AZ$84,1))</f>
        <v>2005 Q3</v>
      </c>
      <c r="BA85" t="str">
        <f ca="1">IF(LEN($BA$84)&lt;&gt;8,$BA$84,RIGHT($BA$84,4)&amp;" "&amp;MID($BA$84,3,1)&amp;LEFT($BA$84,1))</f>
        <v>2005 Q2</v>
      </c>
      <c r="BB85" t="str">
        <f ca="1">IF(LEN($BB$84)&lt;&gt;8,$BB$84,RIGHT($BB$84,4)&amp;" "&amp;MID($BB$84,3,1)&amp;LEFT($BB$84,1))</f>
        <v>2005 Q1</v>
      </c>
      <c r="BC85" t="str">
        <f ca="1">IF(LEN($BC$84)&lt;&gt;8,$BC$84,RIGHT($BC$84,4)&amp;" "&amp;MID($BC$84,3,1)&amp;LEFT($BC$84,1))</f>
        <v>2004 Q4</v>
      </c>
      <c r="BD85" t="str">
        <f ca="1">IF(LEN($BD$84)&lt;&gt;8,$BD$84,RIGHT($BD$84,4)&amp;" "&amp;MID($BD$84,3,1)&amp;LEFT($BD$84,1))</f>
        <v>2004 Q3</v>
      </c>
      <c r="BE85" t="str">
        <f ca="1">IF(LEN($BE$84)&lt;&gt;8,$BE$84,RIGHT($BE$84,4)&amp;" "&amp;MID($BE$84,3,1)&amp;LEFT($BE$84,1))</f>
        <v>2004 Q2</v>
      </c>
      <c r="BF85" t="str">
        <f ca="1">IF(LEN($BF$84)&lt;&gt;8,$BF$84,RIGHT($BF$84,4)&amp;" "&amp;MID($BF$84,3,1)&amp;LEFT($BF$84,1))</f>
        <v>2004 Q1</v>
      </c>
      <c r="BG85" t="str">
        <f ca="1">IF(LEN($BG$84)&lt;&gt;8,$BG$84,RIGHT($BG$84,4)&amp;" "&amp;MID($BG$84,3,1)&amp;LEFT($BG$84,1))</f>
        <v>2003 Q4</v>
      </c>
      <c r="BH85" t="str">
        <f ca="1">IF(LEN($BH$84)&lt;&gt;8,$BH$84,RIGHT($BH$84,4)&amp;" "&amp;MID($BH$84,3,1)&amp;LEFT($BH$84,1))</f>
        <v>2003 Q3</v>
      </c>
      <c r="BI85" t="str">
        <f ca="1">IF(LEN($BI$84)&lt;&gt;8,$BI$84,RIGHT($BI$84,4)&amp;" "&amp;MID($BI$84,3,1)&amp;LEFT($BI$84,1))</f>
        <v>2003 Q2</v>
      </c>
      <c r="BJ85" t="str">
        <f ca="1">IF(LEN($BJ$84)&lt;&gt;8,$BJ$84,RIGHT($BJ$84,4)&amp;" "&amp;MID($BJ$84,3,1)&amp;LEFT($BJ$84,1))</f>
        <v>2003 Q1</v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>
      <c r="A86" t="str">
        <f>"No error found"</f>
        <v>No error found</v>
      </c>
      <c r="B86" t="str">
        <f>""</f>
        <v/>
      </c>
      <c r="C86" t="str">
        <f>""</f>
        <v/>
      </c>
      <c r="D86" t="str">
        <f>""</f>
        <v/>
      </c>
      <c r="E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""</f>
        <v/>
      </c>
      <c r="CI86" t="str">
        <f>""</f>
        <v/>
      </c>
      <c r="CJ86" t="str">
        <f>""</f>
        <v/>
      </c>
      <c r="CK86" t="str">
        <f>""</f>
        <v/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2018-03-14T02:31:30Z</dcterms:modified>
</cp:coreProperties>
</file>