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66" i="3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E66"/>
  <c r="D66"/>
  <c r="C66"/>
  <c r="B66"/>
  <c r="A66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A65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A64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A63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A62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A6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A60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A59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A58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A57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A56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A55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A54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A53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A52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A5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A50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E48"/>
  <c r="D48"/>
  <c r="C48"/>
  <c r="B48"/>
  <c r="A48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E47"/>
  <c r="D47"/>
  <c r="C47"/>
  <c r="B47"/>
  <c r="A47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E46"/>
  <c r="D46"/>
  <c r="C46"/>
  <c r="A46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E45"/>
  <c r="D45"/>
  <c r="C45"/>
  <c r="B45"/>
  <c r="A45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A44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E43"/>
  <c r="D43"/>
  <c r="C43"/>
  <c r="B43"/>
  <c r="A43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E42"/>
  <c r="D42"/>
  <c r="C42"/>
  <c r="B42"/>
  <c r="A42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E41"/>
  <c r="D41"/>
  <c r="C41"/>
  <c r="B41"/>
  <c r="A4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E40"/>
  <c r="D40"/>
  <c r="C40"/>
  <c r="B40"/>
  <c r="A40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E39"/>
  <c r="D39"/>
  <c r="C39"/>
  <c r="B39"/>
  <c r="A39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E38"/>
  <c r="D38"/>
  <c r="C38"/>
  <c r="B38"/>
  <c r="A38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E35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E32"/>
  <c r="D32"/>
  <c r="C32"/>
  <c r="B32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E31"/>
  <c r="D31"/>
  <c r="C31"/>
  <c r="B3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E30"/>
  <c r="D30"/>
  <c r="C30"/>
  <c r="B30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A28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27"/>
  <c r="B46" s="1"/>
  <c r="A27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A26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25"/>
  <c r="A25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C24"/>
  <c r="B24"/>
  <c r="A24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23"/>
  <c r="A23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A2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37" s="1"/>
  <c r="D12"/>
  <c r="D37" s="1"/>
  <c r="C12"/>
  <c r="C37" s="1"/>
  <c r="B12"/>
  <c r="B37" s="1"/>
  <c r="A12"/>
  <c r="A37" s="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E11" i="2" s="1"/>
  <c r="B11" i="3"/>
  <c r="B11" i="2" s="1"/>
  <c r="A11" i="3"/>
  <c r="A11" i="2" s="1"/>
  <c r="DU10" i="3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B10"/>
  <c r="B10" i="2" s="1"/>
  <c r="A10" i="3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B9"/>
  <c r="A9"/>
  <c r="A9" i="2" s="1"/>
  <c r="DU8" i="3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E8" i="2" s="1"/>
  <c r="D8" i="3"/>
  <c r="D8" i="2" s="1"/>
  <c r="C8" i="3"/>
  <c r="C36" s="1"/>
  <c r="B8"/>
  <c r="B36" s="1"/>
  <c r="A8"/>
  <c r="A36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D7"/>
  <c r="D35" s="1"/>
  <c r="C7"/>
  <c r="B7"/>
  <c r="B35" s="1"/>
  <c r="A7"/>
  <c r="A35" s="1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34" s="1"/>
  <c r="D6"/>
  <c r="D34" s="1"/>
  <c r="C6"/>
  <c r="C34" s="1"/>
  <c r="B6"/>
  <c r="B34" s="1"/>
  <c r="A6"/>
  <c r="A34" s="1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D5"/>
  <c r="D33" s="1"/>
  <c r="C5"/>
  <c r="C33" s="1"/>
  <c r="B5"/>
  <c r="B33" s="1"/>
  <c r="A5"/>
  <c r="A5" i="2" s="1"/>
  <c r="DU4" i="3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B4"/>
  <c r="A4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B3"/>
  <c r="A3"/>
  <c r="E2"/>
  <c r="D2"/>
  <c r="D2" i="2" s="1"/>
  <c r="C2" i="3"/>
  <c r="C2" i="2" s="1"/>
  <c r="B2" i="3"/>
  <c r="B2" i="2" s="1"/>
  <c r="A2" i="3"/>
  <c r="E12" i="2"/>
  <c r="D12"/>
  <c r="C12"/>
  <c r="B12"/>
  <c r="A12"/>
  <c r="D11"/>
  <c r="C11"/>
  <c r="E10"/>
  <c r="D10"/>
  <c r="C10"/>
  <c r="A10"/>
  <c r="E9"/>
  <c r="D9"/>
  <c r="C9"/>
  <c r="B9"/>
  <c r="C8"/>
  <c r="A8"/>
  <c r="E7"/>
  <c r="D7"/>
  <c r="B7"/>
  <c r="A7"/>
  <c r="E6"/>
  <c r="C6"/>
  <c r="B6"/>
  <c r="A6"/>
  <c r="C5"/>
  <c r="B5"/>
  <c r="E4"/>
  <c r="D4"/>
  <c r="C4"/>
  <c r="B4"/>
  <c r="A4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2"/>
  <c r="A2"/>
  <c r="A22" i="3"/>
  <c r="C26" l="1"/>
  <c r="D36"/>
  <c r="A33"/>
  <c r="E33"/>
  <c r="E5" i="2"/>
  <c r="D5"/>
  <c r="C7"/>
  <c r="C35" i="3"/>
  <c r="E36"/>
  <c r="B26"/>
  <c r="D6" i="2"/>
  <c r="B8"/>
  <c r="F35" i="3"/>
  <c r="C60"/>
  <c r="C52"/>
  <c r="C50"/>
  <c r="C54"/>
  <c r="C58"/>
  <c r="C62"/>
  <c r="F31"/>
  <c r="F36"/>
  <c r="F32"/>
  <c r="F34"/>
  <c r="F33"/>
  <c r="F37"/>
  <c r="F30"/>
  <c r="B62" l="1"/>
  <c r="B58"/>
  <c r="B54"/>
  <c r="B50"/>
  <c r="B52"/>
  <c r="B60"/>
  <c r="BJ64" l="1"/>
  <c r="BJ65" s="1"/>
  <c r="BB64"/>
  <c r="BB65" s="1"/>
  <c r="AT64"/>
  <c r="AT65" s="1"/>
  <c r="AL64"/>
  <c r="AL65" s="1"/>
  <c r="AD64"/>
  <c r="AD65" s="1"/>
  <c r="V64"/>
  <c r="V65" s="1"/>
  <c r="N64"/>
  <c r="N65" s="1"/>
  <c r="F64"/>
  <c r="F65" s="1"/>
  <c r="BD64"/>
  <c r="BD65" s="1"/>
  <c r="AV64"/>
  <c r="AV65" s="1"/>
  <c r="AF64"/>
  <c r="AF65" s="1"/>
  <c r="H64"/>
  <c r="H65" s="1"/>
  <c r="BC64"/>
  <c r="BC65" s="1"/>
  <c r="AU64"/>
  <c r="AU65" s="1"/>
  <c r="AM64"/>
  <c r="AM65" s="1"/>
  <c r="AE64"/>
  <c r="AE65" s="1"/>
  <c r="W64"/>
  <c r="W65" s="1"/>
  <c r="O64"/>
  <c r="O65" s="1"/>
  <c r="G64"/>
  <c r="G65" s="1"/>
  <c r="AN64"/>
  <c r="AN65" s="1"/>
  <c r="P64"/>
  <c r="P65" s="1"/>
  <c r="BE64"/>
  <c r="BE65" s="1"/>
  <c r="AW64"/>
  <c r="AW65" s="1"/>
  <c r="AO64"/>
  <c r="AO65" s="1"/>
  <c r="AG64"/>
  <c r="AG65" s="1"/>
  <c r="Y64"/>
  <c r="Y65" s="1"/>
  <c r="Q64"/>
  <c r="Q65" s="1"/>
  <c r="I64"/>
  <c r="I65" s="1"/>
  <c r="BF64"/>
  <c r="BF65" s="1"/>
  <c r="AX64"/>
  <c r="AX65" s="1"/>
  <c r="AP64"/>
  <c r="AP65" s="1"/>
  <c r="AH64"/>
  <c r="AH65" s="1"/>
  <c r="Z64"/>
  <c r="Z65" s="1"/>
  <c r="R64"/>
  <c r="R65" s="1"/>
  <c r="J64"/>
  <c r="J65" s="1"/>
  <c r="B64"/>
  <c r="B65" s="1"/>
  <c r="BI64"/>
  <c r="BI65" s="1"/>
  <c r="BA64"/>
  <c r="BA65" s="1"/>
  <c r="AS64"/>
  <c r="AS65" s="1"/>
  <c r="AK64"/>
  <c r="AK65" s="1"/>
  <c r="AC64"/>
  <c r="AC65" s="1"/>
  <c r="U64"/>
  <c r="U65" s="1"/>
  <c r="M64"/>
  <c r="M65" s="1"/>
  <c r="E64"/>
  <c r="E65" s="1"/>
  <c r="X64"/>
  <c r="X65" s="1"/>
  <c r="AJ64"/>
  <c r="AJ65" s="1"/>
  <c r="D64"/>
  <c r="D65" s="1"/>
  <c r="L64"/>
  <c r="L65" s="1"/>
  <c r="AQ64"/>
  <c r="AQ65" s="1"/>
  <c r="K64"/>
  <c r="K65" s="1"/>
  <c r="AR64"/>
  <c r="AR65" s="1"/>
  <c r="AY64"/>
  <c r="AY65" s="1"/>
  <c r="S64"/>
  <c r="S65" s="1"/>
  <c r="AZ64"/>
  <c r="AZ65" s="1"/>
  <c r="T64"/>
  <c r="T65" s="1"/>
  <c r="BG64"/>
  <c r="BG65" s="1"/>
  <c r="AA64"/>
  <c r="AA65" s="1"/>
  <c r="AB64"/>
  <c r="AB65" s="1"/>
  <c r="AI64"/>
  <c r="AI65" s="1"/>
  <c r="C64"/>
  <c r="C65" s="1"/>
  <c r="BH64"/>
  <c r="BH65" s="1"/>
  <c r="BJ56"/>
  <c r="BJ57" s="1"/>
  <c r="BB56"/>
  <c r="BB57" s="1"/>
  <c r="AT56"/>
  <c r="AT57" s="1"/>
  <c r="AL56"/>
  <c r="AL57" s="1"/>
  <c r="AD56"/>
  <c r="AD57" s="1"/>
  <c r="V56"/>
  <c r="V57" s="1"/>
  <c r="N56"/>
  <c r="N57" s="1"/>
  <c r="F56"/>
  <c r="F57" s="1"/>
  <c r="BD56"/>
  <c r="BD57" s="1"/>
  <c r="AV56"/>
  <c r="AV57" s="1"/>
  <c r="AN56"/>
  <c r="AN57" s="1"/>
  <c r="AF56"/>
  <c r="AF57" s="1"/>
  <c r="P56"/>
  <c r="P57" s="1"/>
  <c r="BC56"/>
  <c r="BC57" s="1"/>
  <c r="AU56"/>
  <c r="AU57" s="1"/>
  <c r="AM56"/>
  <c r="AM57" s="1"/>
  <c r="AE56"/>
  <c r="AE57" s="1"/>
  <c r="W56"/>
  <c r="W57" s="1"/>
  <c r="O56"/>
  <c r="O57" s="1"/>
  <c r="G56"/>
  <c r="G57" s="1"/>
  <c r="H56"/>
  <c r="H57" s="1"/>
  <c r="BE56"/>
  <c r="BE57" s="1"/>
  <c r="AW56"/>
  <c r="AW57" s="1"/>
  <c r="AO56"/>
  <c r="AO57" s="1"/>
  <c r="AG56"/>
  <c r="AG57" s="1"/>
  <c r="Y56"/>
  <c r="Y57" s="1"/>
  <c r="Q56"/>
  <c r="Q57" s="1"/>
  <c r="I56"/>
  <c r="I57" s="1"/>
  <c r="BF56"/>
  <c r="BF57" s="1"/>
  <c r="AX56"/>
  <c r="AX57" s="1"/>
  <c r="AP56"/>
  <c r="AP57" s="1"/>
  <c r="AH56"/>
  <c r="AH57" s="1"/>
  <c r="Z56"/>
  <c r="Z57" s="1"/>
  <c r="R56"/>
  <c r="R57" s="1"/>
  <c r="J56"/>
  <c r="J57" s="1"/>
  <c r="B56"/>
  <c r="B57" s="1"/>
  <c r="BI56"/>
  <c r="BI57" s="1"/>
  <c r="BA56"/>
  <c r="BA57" s="1"/>
  <c r="AS56"/>
  <c r="AS57" s="1"/>
  <c r="AK56"/>
  <c r="AK57" s="1"/>
  <c r="AC56"/>
  <c r="AC57" s="1"/>
  <c r="U56"/>
  <c r="U57" s="1"/>
  <c r="M56"/>
  <c r="M57" s="1"/>
  <c r="E56"/>
  <c r="E57" s="1"/>
  <c r="X56"/>
  <c r="X57" s="1"/>
  <c r="AJ56"/>
  <c r="AJ57" s="1"/>
  <c r="D56"/>
  <c r="D57" s="1"/>
  <c r="L56"/>
  <c r="L57" s="1"/>
  <c r="AQ56"/>
  <c r="AQ57" s="1"/>
  <c r="K56"/>
  <c r="K57" s="1"/>
  <c r="AR56"/>
  <c r="AR57" s="1"/>
  <c r="AB56"/>
  <c r="AB57" s="1"/>
  <c r="AY56"/>
  <c r="AY57" s="1"/>
  <c r="S56"/>
  <c r="S57" s="1"/>
  <c r="AZ56"/>
  <c r="AZ57" s="1"/>
  <c r="T56"/>
  <c r="T57" s="1"/>
  <c r="BG56"/>
  <c r="BG57" s="1"/>
  <c r="AA56"/>
  <c r="AA57" s="1"/>
  <c r="BH56"/>
  <c r="BH57" s="1"/>
  <c r="AI56"/>
  <c r="AI57" s="1"/>
  <c r="C56"/>
  <c r="C57" s="1"/>
  <c r="B28" l="1"/>
  <c r="H2"/>
  <c r="BP2"/>
  <c r="AO2"/>
  <c r="CW2"/>
  <c r="F2"/>
  <c r="BN2"/>
  <c r="DQ2"/>
  <c r="BI2"/>
  <c r="Y2"/>
  <c r="CG2"/>
  <c r="AE2"/>
  <c r="CM2"/>
  <c r="BT2"/>
  <c r="L2"/>
  <c r="CI2"/>
  <c r="AA2"/>
  <c r="CA2"/>
  <c r="S2"/>
  <c r="AM2"/>
  <c r="CU2"/>
  <c r="DP2"/>
  <c r="BH2"/>
  <c r="AV2"/>
  <c r="DD2"/>
  <c r="DA2"/>
  <c r="AS2"/>
  <c r="DH2"/>
  <c r="AZ2"/>
  <c r="DF2"/>
  <c r="AX2"/>
  <c r="Q2"/>
  <c r="BY2"/>
  <c r="W2"/>
  <c r="CE2"/>
  <c r="O2"/>
  <c r="BW2"/>
  <c r="AN2"/>
  <c r="CV2"/>
  <c r="CS2"/>
  <c r="AK2"/>
  <c r="CZ2"/>
  <c r="AR2"/>
  <c r="CX2"/>
  <c r="AP2"/>
  <c r="I2"/>
  <c r="BQ2"/>
  <c r="AL2"/>
  <c r="CT2"/>
  <c r="CQ2"/>
  <c r="AI2"/>
  <c r="BB2"/>
  <c r="DJ2"/>
  <c r="BS2"/>
  <c r="K2"/>
  <c r="V2"/>
  <c r="CD2"/>
  <c r="BD2"/>
  <c r="DL2"/>
  <c r="DN2"/>
  <c r="BF2"/>
  <c r="G2"/>
  <c r="BO2"/>
  <c r="AT2"/>
  <c r="DB2"/>
  <c r="CR2"/>
  <c r="AJ2"/>
  <c r="DO2"/>
  <c r="BG2"/>
  <c r="N2"/>
  <c r="BV2"/>
  <c r="CJ2"/>
  <c r="AB2"/>
  <c r="DG2"/>
  <c r="AY2"/>
  <c r="BR2"/>
  <c r="J2"/>
  <c r="BL2"/>
  <c r="DT2"/>
  <c r="AG2"/>
  <c r="CO2"/>
  <c r="DI2"/>
  <c r="BA2"/>
  <c r="BC2"/>
  <c r="DK2"/>
  <c r="BJ2"/>
  <c r="DR2"/>
  <c r="AF2"/>
  <c r="CN2"/>
  <c r="CK2"/>
  <c r="AC2"/>
  <c r="CP2"/>
  <c r="AH2"/>
  <c r="BM2"/>
  <c r="DU2"/>
  <c r="AD2"/>
  <c r="CL2"/>
  <c r="X2"/>
  <c r="CF2"/>
  <c r="CC2"/>
  <c r="U2"/>
  <c r="CH2"/>
  <c r="Z2"/>
  <c r="BE2"/>
  <c r="DM2"/>
  <c r="BK2"/>
  <c r="DS2"/>
  <c r="AU2"/>
  <c r="DC2"/>
  <c r="P2"/>
  <c r="BX2"/>
  <c r="BU2"/>
  <c r="M2"/>
  <c r="CB2"/>
  <c r="T2"/>
  <c r="BZ2"/>
  <c r="R2"/>
  <c r="CY2"/>
  <c r="AQ2"/>
  <c r="AW2"/>
  <c r="DE2"/>
  <c r="BI4"/>
  <c r="AA4"/>
  <c r="AK4"/>
  <c r="AB4"/>
  <c r="M4"/>
  <c r="AL4"/>
  <c r="AT4"/>
  <c r="AG4"/>
  <c r="AD4"/>
  <c r="AW4"/>
  <c r="L4"/>
  <c r="AX4"/>
  <c r="AZ4"/>
  <c r="J4"/>
  <c r="U4"/>
  <c r="Y4"/>
  <c r="W4"/>
  <c r="AH12"/>
  <c r="AE11"/>
  <c r="Z10"/>
  <c r="U9"/>
  <c r="P8"/>
  <c r="M7"/>
  <c r="BK5"/>
  <c r="AJ12"/>
  <c r="AU9"/>
  <c r="T6"/>
  <c r="AI12"/>
  <c r="AF11"/>
  <c r="AA10"/>
  <c r="V9"/>
  <c r="Y8"/>
  <c r="V7"/>
  <c r="K6"/>
  <c r="H5"/>
  <c r="BH6"/>
  <c r="BA12"/>
  <c r="AP11"/>
  <c r="AK10"/>
  <c r="AF9"/>
  <c r="AA8"/>
  <c r="X7"/>
  <c r="U6"/>
  <c r="J5"/>
  <c r="I12"/>
  <c r="F11"/>
  <c r="I10"/>
  <c r="BK8"/>
  <c r="BH7"/>
  <c r="BE6"/>
  <c r="BB5"/>
  <c r="L12"/>
  <c r="AJ10"/>
  <c r="BK7"/>
  <c r="AF12"/>
  <c r="BM9"/>
  <c r="J7"/>
  <c r="BG11"/>
  <c r="AM12"/>
  <c r="AI9"/>
  <c r="AK8"/>
  <c r="BF7"/>
  <c r="AN10"/>
  <c r="BI11"/>
  <c r="I9"/>
  <c r="AM6"/>
  <c r="AR11"/>
  <c r="AS8"/>
  <c r="BI5"/>
  <c r="P10"/>
  <c r="AB11"/>
  <c r="AT10"/>
  <c r="AX7"/>
  <c r="O12"/>
  <c r="S11"/>
  <c r="AJ5"/>
  <c r="F8"/>
  <c r="AX12"/>
  <c r="AP10"/>
  <c r="AF8"/>
  <c r="R6"/>
  <c r="L10"/>
  <c r="AY12"/>
  <c r="AQ10"/>
  <c r="AO8"/>
  <c r="AA6"/>
  <c r="AU7"/>
  <c r="BF11"/>
  <c r="AV9"/>
  <c r="AN7"/>
  <c r="Z5"/>
  <c r="V11"/>
  <c r="T9"/>
  <c r="L7"/>
  <c r="BH12"/>
  <c r="AH8"/>
  <c r="X10"/>
  <c r="K5"/>
  <c r="AD12"/>
  <c r="Z9"/>
  <c r="AN12"/>
  <c r="R7"/>
  <c r="AG9"/>
  <c r="AA11"/>
  <c r="K11"/>
  <c r="AY5"/>
  <c r="O6"/>
  <c r="AL12"/>
  <c r="AF10"/>
  <c r="O10"/>
  <c r="AT8"/>
  <c r="AD6"/>
  <c r="V10"/>
  <c r="H8"/>
  <c r="AE9"/>
  <c r="S10"/>
  <c r="BL5"/>
  <c r="AH11"/>
  <c r="M6"/>
  <c r="BH9"/>
  <c r="BM11"/>
  <c r="AP9"/>
  <c r="AW7"/>
  <c r="AQ11"/>
  <c r="V8"/>
  <c r="W10"/>
  <c r="BL6"/>
  <c r="AV4"/>
  <c r="Q4"/>
  <c r="V4"/>
  <c r="AF4"/>
  <c r="BE4"/>
  <c r="BH4"/>
  <c r="K4"/>
  <c r="Z4"/>
  <c r="AQ4"/>
  <c r="BF4"/>
  <c r="X4"/>
  <c r="AP12"/>
  <c r="AM11"/>
  <c r="AH10"/>
  <c r="AC9"/>
  <c r="X8"/>
  <c r="U7"/>
  <c r="J6"/>
  <c r="G5"/>
  <c r="BK9"/>
  <c r="AR6"/>
  <c r="AQ12"/>
  <c r="AN11"/>
  <c r="AI10"/>
  <c r="AD9"/>
  <c r="AG8"/>
  <c r="AD7"/>
  <c r="S6"/>
  <c r="P5"/>
  <c r="O7"/>
  <c r="BI12"/>
  <c r="AX11"/>
  <c r="AS10"/>
  <c r="AN9"/>
  <c r="AI8"/>
  <c r="AF7"/>
  <c r="AC6"/>
  <c r="R5"/>
  <c r="Q12"/>
  <c r="N11"/>
  <c r="Q10"/>
  <c r="L9"/>
  <c r="G8"/>
  <c r="BM6"/>
  <c r="BJ5"/>
  <c r="AR12"/>
  <c r="AZ10"/>
  <c r="J8"/>
  <c r="BC12"/>
  <c r="F10"/>
  <c r="AG7"/>
  <c r="BD12"/>
  <c r="L5"/>
  <c r="BK10"/>
  <c r="Y9"/>
  <c r="AL8"/>
  <c r="AV12"/>
  <c r="V12"/>
  <c r="AA9"/>
  <c r="BJ6"/>
  <c r="W12"/>
  <c r="J9"/>
  <c r="V6"/>
  <c r="BJ10"/>
  <c r="G12"/>
  <c r="BL10"/>
  <c r="L8"/>
  <c r="AB5"/>
  <c r="P12"/>
  <c r="BG5"/>
  <c r="AS5"/>
  <c r="AU11"/>
  <c r="AK9"/>
  <c r="AC7"/>
  <c r="O5"/>
  <c r="AE7"/>
  <c r="AV11"/>
  <c r="AL9"/>
  <c r="AL7"/>
  <c r="X5"/>
  <c r="Y5"/>
  <c r="BA10"/>
  <c r="AQ8"/>
  <c r="AK6"/>
  <c r="Y12"/>
  <c r="Y10"/>
  <c r="O8"/>
  <c r="I6"/>
  <c r="BH10"/>
  <c r="I5"/>
  <c r="AY7"/>
  <c r="N6"/>
  <c r="AD10"/>
  <c r="AR5"/>
  <c r="AX9"/>
  <c r="AT12"/>
  <c r="AN6"/>
  <c r="W6"/>
  <c r="AD8"/>
  <c r="BJ12"/>
  <c r="AZ8"/>
  <c r="AK11"/>
  <c r="BG7"/>
  <c r="S7"/>
  <c r="AZ11"/>
  <c r="BC6"/>
  <c r="F12"/>
  <c r="Z12"/>
  <c r="BC5"/>
  <c r="AA12"/>
  <c r="Q8"/>
  <c r="AZ12"/>
  <c r="AC10"/>
  <c r="P7"/>
  <c r="BM10"/>
  <c r="AW6"/>
  <c r="BC7"/>
  <c r="M11"/>
  <c r="Q7"/>
  <c r="P6"/>
  <c r="BE9"/>
  <c r="G10"/>
  <c r="F4"/>
  <c r="AN4"/>
  <c r="I4"/>
  <c r="G4"/>
  <c r="N4"/>
  <c r="BL4"/>
  <c r="BJ4"/>
  <c r="BM4"/>
  <c r="P4"/>
  <c r="AP4"/>
  <c r="BG4"/>
  <c r="AH4"/>
  <c r="R4"/>
  <c r="BD4"/>
  <c r="BF12"/>
  <c r="BC11"/>
  <c r="AX10"/>
  <c r="AS9"/>
  <c r="AN8"/>
  <c r="AK7"/>
  <c r="Z6"/>
  <c r="W5"/>
  <c r="AB10"/>
  <c r="R8"/>
  <c r="BG12"/>
  <c r="BD11"/>
  <c r="AY10"/>
  <c r="AT9"/>
  <c r="AW8"/>
  <c r="AT7"/>
  <c r="AI6"/>
  <c r="AF5"/>
  <c r="Z8"/>
  <c r="AO5"/>
  <c r="M12"/>
  <c r="BI10"/>
  <c r="BD9"/>
  <c r="AY8"/>
  <c r="AV7"/>
  <c r="AS6"/>
  <c r="AH5"/>
  <c r="AG12"/>
  <c r="AD11"/>
  <c r="AG10"/>
  <c r="AB9"/>
  <c r="W8"/>
  <c r="T7"/>
  <c r="Q6"/>
  <c r="N5"/>
  <c r="Q11"/>
  <c r="BF8"/>
  <c r="AB6"/>
  <c r="AU10"/>
  <c r="M8"/>
  <c r="AC5"/>
  <c r="BE7"/>
  <c r="AQ7"/>
  <c r="AJ11"/>
  <c r="H10"/>
  <c r="AT6"/>
  <c r="BK12"/>
  <c r="N10"/>
  <c r="AO7"/>
  <c r="BL12"/>
  <c r="AY9"/>
  <c r="BK6"/>
  <c r="AS11"/>
  <c r="AB8"/>
  <c r="AC11"/>
  <c r="BA8"/>
  <c r="G6"/>
  <c r="BA5"/>
  <c r="BD6"/>
  <c r="Q9"/>
  <c r="BK11"/>
  <c r="BF10"/>
  <c r="BA9"/>
  <c r="AV8"/>
  <c r="AS7"/>
  <c r="AH6"/>
  <c r="AE5"/>
  <c r="AR10"/>
  <c r="AP8"/>
  <c r="Q5"/>
  <c r="BL11"/>
  <c r="BG10"/>
  <c r="BB9"/>
  <c r="BE8"/>
  <c r="BB7"/>
  <c r="AQ6"/>
  <c r="AN5"/>
  <c r="O9"/>
  <c r="BE5"/>
  <c r="U12"/>
  <c r="J11"/>
  <c r="BL9"/>
  <c r="BG8"/>
  <c r="BD7"/>
  <c r="BA6"/>
  <c r="AP5"/>
  <c r="AO12"/>
  <c r="AL11"/>
  <c r="AO10"/>
  <c r="AJ9"/>
  <c r="AE8"/>
  <c r="AB7"/>
  <c r="Y6"/>
  <c r="V5"/>
  <c r="Y11"/>
  <c r="W9"/>
  <c r="G7"/>
  <c r="L11"/>
  <c r="AJ8"/>
  <c r="AZ5"/>
  <c r="BH8"/>
  <c r="AM10"/>
  <c r="Y7"/>
  <c r="X6"/>
  <c r="S5"/>
  <c r="X12"/>
  <c r="R9"/>
  <c r="AI7"/>
  <c r="W11"/>
  <c r="BF6"/>
  <c r="BM5"/>
  <c r="N9"/>
  <c r="AZ6"/>
  <c r="X9"/>
  <c r="BM12"/>
  <c r="BC8"/>
  <c r="AT5"/>
  <c r="N12"/>
  <c r="BH11"/>
  <c r="BF9"/>
  <c r="U11"/>
  <c r="BB12"/>
  <c r="BB10"/>
  <c r="AO4"/>
  <c r="AE4"/>
  <c r="AM4"/>
  <c r="O4"/>
  <c r="BB4"/>
  <c r="BC4"/>
  <c r="AU4"/>
  <c r="S4"/>
  <c r="AS4"/>
  <c r="AR4"/>
  <c r="AI4"/>
  <c r="AJ4"/>
  <c r="AY4"/>
  <c r="BA4"/>
  <c r="AC4"/>
  <c r="T4"/>
  <c r="H4"/>
  <c r="BK4"/>
  <c r="J12"/>
  <c r="G11"/>
  <c r="BI9"/>
  <c r="BD8"/>
  <c r="BA7"/>
  <c r="AP6"/>
  <c r="AM5"/>
  <c r="I11"/>
  <c r="AX8"/>
  <c r="AG5"/>
  <c r="K12"/>
  <c r="H11"/>
  <c r="BJ9"/>
  <c r="BM8"/>
  <c r="BJ7"/>
  <c r="AY6"/>
  <c r="AV5"/>
  <c r="T12"/>
  <c r="L6"/>
  <c r="AC12"/>
  <c r="R11"/>
  <c r="M10"/>
  <c r="H9"/>
  <c r="BL7"/>
  <c r="BI6"/>
  <c r="AX5"/>
  <c r="AW12"/>
  <c r="AT11"/>
  <c r="AW10"/>
  <c r="AR9"/>
  <c r="AM8"/>
  <c r="AJ7"/>
  <c r="AG6"/>
  <c r="AD5"/>
  <c r="AO11"/>
  <c r="AM9"/>
  <c r="W7"/>
  <c r="AI11"/>
  <c r="BB8"/>
  <c r="H6"/>
  <c r="AQ9"/>
  <c r="BI8"/>
  <c r="AA5"/>
  <c r="AI5"/>
  <c r="M5"/>
  <c r="Z7"/>
  <c r="BC10"/>
  <c r="U8"/>
  <c r="AK5"/>
  <c r="AL10"/>
  <c r="AP7"/>
  <c r="AU12"/>
  <c r="K9"/>
  <c r="H12"/>
  <c r="AO9"/>
  <c r="AV6"/>
  <c r="AH7"/>
  <c r="T8"/>
  <c r="AY11"/>
  <c r="F5"/>
  <c r="R12"/>
  <c r="O11"/>
  <c r="J10"/>
  <c r="BL8"/>
  <c r="BI7"/>
  <c r="AX6"/>
  <c r="AU5"/>
  <c r="AG11"/>
  <c r="G9"/>
  <c r="AW5"/>
  <c r="S12"/>
  <c r="P11"/>
  <c r="K10"/>
  <c r="F9"/>
  <c r="I8"/>
  <c r="BG6"/>
  <c r="BD5"/>
  <c r="AB12"/>
  <c r="AJ6"/>
  <c r="AK12"/>
  <c r="Z11"/>
  <c r="U10"/>
  <c r="P9"/>
  <c r="K8"/>
  <c r="H7"/>
  <c r="BF5"/>
  <c r="BE12"/>
  <c r="BB11"/>
  <c r="BE10"/>
  <c r="AZ9"/>
  <c r="AU8"/>
  <c r="AR7"/>
  <c r="AO6"/>
  <c r="AL5"/>
  <c r="BE11"/>
  <c r="BC9"/>
  <c r="AM7"/>
  <c r="BA11"/>
  <c r="S9"/>
  <c r="AE6"/>
  <c r="AV10"/>
  <c r="AE10"/>
  <c r="AU6"/>
  <c r="AF6"/>
  <c r="AL6"/>
  <c r="AC8"/>
  <c r="T11"/>
  <c r="AR8"/>
  <c r="BH5"/>
  <c r="BD10"/>
  <c r="BM7"/>
  <c r="T5"/>
  <c r="AH9"/>
  <c r="AE12"/>
  <c r="BG9"/>
  <c r="I7"/>
  <c r="N8"/>
  <c r="AW9"/>
  <c r="U5"/>
  <c r="F7"/>
  <c r="R10"/>
  <c r="M9"/>
  <c r="AW11"/>
  <c r="X11"/>
  <c r="N7"/>
  <c r="AS12"/>
  <c r="S8"/>
  <c r="BJ11"/>
  <c r="AZ7"/>
  <c r="T10"/>
  <c r="BB6"/>
  <c r="K7"/>
  <c r="BJ8"/>
  <c r="AQ5"/>
  <c r="AA7"/>
  <c r="F6"/>
  <c r="F6" i="2" l="1"/>
  <c r="AA7"/>
  <c r="AQ5"/>
  <c r="BJ8"/>
  <c r="K7"/>
  <c r="BB6"/>
  <c r="T10"/>
  <c r="AZ7"/>
  <c r="BJ11"/>
  <c r="S8"/>
  <c r="AS12"/>
  <c r="N7"/>
  <c r="X11"/>
  <c r="AW11"/>
  <c r="M9"/>
  <c r="R10"/>
  <c r="F7"/>
  <c r="U5"/>
  <c r="AW9"/>
  <c r="N8"/>
  <c r="I7"/>
  <c r="BG9"/>
  <c r="AE12"/>
  <c r="AH9"/>
  <c r="T5"/>
  <c r="BM7"/>
  <c r="BD10"/>
  <c r="BH5"/>
  <c r="AR8"/>
  <c r="T11"/>
  <c r="AC8"/>
  <c r="AL6"/>
  <c r="AF6"/>
  <c r="AU6"/>
  <c r="AE10"/>
  <c r="AV10"/>
  <c r="AE6"/>
  <c r="S9"/>
  <c r="BA11"/>
  <c r="AM7"/>
  <c r="BC9"/>
  <c r="BE11"/>
  <c r="AL5"/>
  <c r="AO6"/>
  <c r="AR7"/>
  <c r="AU8"/>
  <c r="AZ9"/>
  <c r="BE10"/>
  <c r="BB11"/>
  <c r="BE12"/>
  <c r="BF5"/>
  <c r="H7"/>
  <c r="K8"/>
  <c r="P9"/>
  <c r="U10"/>
  <c r="Z11"/>
  <c r="AK12"/>
  <c r="AJ6"/>
  <c r="AB12"/>
  <c r="BD5"/>
  <c r="BG6"/>
  <c r="I8"/>
  <c r="F9"/>
  <c r="K10"/>
  <c r="P11"/>
  <c r="S12"/>
  <c r="AW5"/>
  <c r="G9"/>
  <c r="AG11"/>
  <c r="AU5"/>
  <c r="AX6"/>
  <c r="BI7"/>
  <c r="BL8"/>
  <c r="J10"/>
  <c r="O11"/>
  <c r="R12"/>
  <c r="F5"/>
  <c r="AY11"/>
  <c r="T8"/>
  <c r="AH7"/>
  <c r="AV6"/>
  <c r="AO9"/>
  <c r="H12"/>
  <c r="K9"/>
  <c r="AU12"/>
  <c r="AP7"/>
  <c r="AL10"/>
  <c r="AK5"/>
  <c r="U8"/>
  <c r="BC10"/>
  <c r="Z7"/>
  <c r="M5"/>
  <c r="AI5"/>
  <c r="AA5"/>
  <c r="BI8"/>
  <c r="AQ9"/>
  <c r="H6"/>
  <c r="BB8"/>
  <c r="AI11"/>
  <c r="W7"/>
  <c r="AM9"/>
  <c r="AO11"/>
  <c r="AD5"/>
  <c r="AG6"/>
  <c r="AJ7"/>
  <c r="AM8"/>
  <c r="AR9"/>
  <c r="AW10"/>
  <c r="AT11"/>
  <c r="AW12"/>
  <c r="AX5"/>
  <c r="BI6"/>
  <c r="BL7"/>
  <c r="H9"/>
  <c r="M10"/>
  <c r="R11"/>
  <c r="AC12"/>
  <c r="L6"/>
  <c r="T12"/>
  <c r="AV5"/>
  <c r="AY6"/>
  <c r="BJ7"/>
  <c r="BM8"/>
  <c r="BJ9"/>
  <c r="H11"/>
  <c r="K12"/>
  <c r="AG5"/>
  <c r="AX8"/>
  <c r="I11"/>
  <c r="AM5"/>
  <c r="AP6"/>
  <c r="BA7"/>
  <c r="BD8"/>
  <c r="BI9"/>
  <c r="G11"/>
  <c r="J12"/>
  <c r="BK4"/>
  <c r="H4"/>
  <c r="T4"/>
  <c r="AC4"/>
  <c r="BA4"/>
  <c r="AY4"/>
  <c r="AJ4"/>
  <c r="AI4"/>
  <c r="AR4"/>
  <c r="AS4"/>
  <c r="S4"/>
  <c r="AU4"/>
  <c r="BC4"/>
  <c r="BB4"/>
  <c r="O4"/>
  <c r="AM4"/>
  <c r="AE4"/>
  <c r="AO4"/>
  <c r="BB10"/>
  <c r="BB12"/>
  <c r="U11"/>
  <c r="BF9"/>
  <c r="BH11"/>
  <c r="N12"/>
  <c r="AT5"/>
  <c r="BC8"/>
  <c r="BM12"/>
  <c r="X9"/>
  <c r="AZ6"/>
  <c r="N9"/>
  <c r="BM5"/>
  <c r="BF6"/>
  <c r="W11"/>
  <c r="AI7"/>
  <c r="R9"/>
  <c r="X12"/>
  <c r="S5"/>
  <c r="X6"/>
  <c r="Y7"/>
  <c r="AM10"/>
  <c r="BH8"/>
  <c r="AZ5"/>
  <c r="AJ8"/>
  <c r="L11"/>
  <c r="G7"/>
  <c r="W9"/>
  <c r="Y11"/>
  <c r="V5"/>
  <c r="Y6"/>
  <c r="AB7"/>
  <c r="AE8"/>
  <c r="AJ9"/>
  <c r="AO10"/>
  <c r="AL11"/>
  <c r="AO12"/>
  <c r="AP5"/>
  <c r="BA6"/>
  <c r="BD7"/>
  <c r="BG8"/>
  <c r="BL9"/>
  <c r="J11"/>
  <c r="U12"/>
  <c r="BE5"/>
  <c r="O9"/>
  <c r="AN5"/>
  <c r="AQ6"/>
  <c r="BB7"/>
  <c r="BE8"/>
  <c r="BB9"/>
  <c r="BG10"/>
  <c r="BL11"/>
  <c r="Q5"/>
  <c r="AP8"/>
  <c r="AR10"/>
  <c r="AE5"/>
  <c r="AH6"/>
  <c r="AS7"/>
  <c r="AV8"/>
  <c r="BA9"/>
  <c r="BF10"/>
  <c r="BK11"/>
  <c r="Q9"/>
  <c r="BD6"/>
  <c r="BA5"/>
  <c r="G6"/>
  <c r="BA8"/>
  <c r="AC11"/>
  <c r="AB8"/>
  <c r="AS11"/>
  <c r="BK6"/>
  <c r="AY9"/>
  <c r="BL12"/>
  <c r="AO7"/>
  <c r="N10"/>
  <c r="BK12"/>
  <c r="AT6"/>
  <c r="H10"/>
  <c r="AJ11"/>
  <c r="AQ7"/>
  <c r="BE7"/>
  <c r="AC5"/>
  <c r="M8"/>
  <c r="AU10"/>
  <c r="AB6"/>
  <c r="BF8"/>
  <c r="Q11"/>
  <c r="N5"/>
  <c r="Q6"/>
  <c r="T7"/>
  <c r="W8"/>
  <c r="AB9"/>
  <c r="AG10"/>
  <c r="AD11"/>
  <c r="AG12"/>
  <c r="AH5"/>
  <c r="AS6"/>
  <c r="AV7"/>
  <c r="AY8"/>
  <c r="BD9"/>
  <c r="BI10"/>
  <c r="M12"/>
  <c r="AO5"/>
  <c r="Z8"/>
  <c r="AF5"/>
  <c r="AI6"/>
  <c r="AT7"/>
  <c r="AW8"/>
  <c r="AT9"/>
  <c r="AY10"/>
  <c r="BD11"/>
  <c r="BG12"/>
  <c r="R8"/>
  <c r="AB10"/>
  <c r="W5"/>
  <c r="Z6"/>
  <c r="AK7"/>
  <c r="AN8"/>
  <c r="AS9"/>
  <c r="AX10"/>
  <c r="BC11"/>
  <c r="BF12"/>
  <c r="BD4"/>
  <c r="R4"/>
  <c r="AH4"/>
  <c r="BG4"/>
  <c r="AP4"/>
  <c r="P4"/>
  <c r="BM4"/>
  <c r="BJ4"/>
  <c r="BL4"/>
  <c r="N4"/>
  <c r="G4"/>
  <c r="I4"/>
  <c r="AN4"/>
  <c r="F4"/>
  <c r="G10"/>
  <c r="BE9"/>
  <c r="P6"/>
  <c r="Q7"/>
  <c r="M11"/>
  <c r="BC7"/>
  <c r="AW6"/>
  <c r="BM10"/>
  <c r="P7"/>
  <c r="AC10"/>
  <c r="AZ12"/>
  <c r="Q8"/>
  <c r="AA12"/>
  <c r="BC5"/>
  <c r="Z12"/>
  <c r="F12"/>
  <c r="BC6"/>
  <c r="AZ11"/>
  <c r="S7"/>
  <c r="BG7"/>
  <c r="AK11"/>
  <c r="AZ8"/>
  <c r="BJ12"/>
  <c r="AD8"/>
  <c r="W6"/>
  <c r="AN6"/>
  <c r="AT12"/>
  <c r="AX9"/>
  <c r="AR5"/>
  <c r="AD10"/>
  <c r="N6"/>
  <c r="AY7"/>
  <c r="I5"/>
  <c r="BH10"/>
  <c r="I6"/>
  <c r="O8"/>
  <c r="Y10"/>
  <c r="Y12"/>
  <c r="AK6"/>
  <c r="AQ8"/>
  <c r="BA10"/>
  <c r="Y5"/>
  <c r="X5"/>
  <c r="AL7"/>
  <c r="AL9"/>
  <c r="AV11"/>
  <c r="AE7"/>
  <c r="O5"/>
  <c r="AC7"/>
  <c r="AK9"/>
  <c r="AU11"/>
  <c r="AS5"/>
  <c r="BG5"/>
  <c r="P12"/>
  <c r="AB5"/>
  <c r="L8"/>
  <c r="BL10"/>
  <c r="G12"/>
  <c r="BJ10"/>
  <c r="V6"/>
  <c r="J9"/>
  <c r="W12"/>
  <c r="BJ6"/>
  <c r="AA9"/>
  <c r="V12"/>
  <c r="AV12"/>
  <c r="AL8"/>
  <c r="Y9"/>
  <c r="BK10"/>
  <c r="L5"/>
  <c r="BD12"/>
  <c r="AG7"/>
  <c r="F10"/>
  <c r="BC12"/>
  <c r="J8"/>
  <c r="AZ10"/>
  <c r="AR12"/>
  <c r="BJ5"/>
  <c r="BM6"/>
  <c r="G8"/>
  <c r="L9"/>
  <c r="Q10"/>
  <c r="N11"/>
  <c r="Q12"/>
  <c r="R5"/>
  <c r="AC6"/>
  <c r="AF7"/>
  <c r="AI8"/>
  <c r="AN9"/>
  <c r="AS10"/>
  <c r="AX11"/>
  <c r="BI12"/>
  <c r="O7"/>
  <c r="P5"/>
  <c r="S6"/>
  <c r="AD7"/>
  <c r="AG8"/>
  <c r="AD9"/>
  <c r="AI10"/>
  <c r="AN11"/>
  <c r="AQ12"/>
  <c r="AR6"/>
  <c r="BK9"/>
  <c r="G5"/>
  <c r="J6"/>
  <c r="U7"/>
  <c r="X8"/>
  <c r="AC9"/>
  <c r="AH10"/>
  <c r="AM11"/>
  <c r="AP12"/>
  <c r="X4"/>
  <c r="BF4"/>
  <c r="AQ4"/>
  <c r="Z4"/>
  <c r="K4"/>
  <c r="BH4"/>
  <c r="BE4"/>
  <c r="AF4"/>
  <c r="V4"/>
  <c r="Q4"/>
  <c r="AV4"/>
  <c r="BL6"/>
  <c r="W10"/>
  <c r="V8"/>
  <c r="AQ11"/>
  <c r="AW7"/>
  <c r="AP9"/>
  <c r="BM11"/>
  <c r="BH9"/>
  <c r="M6"/>
  <c r="AH11"/>
  <c r="BL5"/>
  <c r="S10"/>
  <c r="AE9"/>
  <c r="H8"/>
  <c r="V10"/>
  <c r="AD6"/>
  <c r="AT8"/>
  <c r="O10"/>
  <c r="AF10"/>
  <c r="AL12"/>
  <c r="O6"/>
  <c r="AY5"/>
  <c r="K11"/>
  <c r="AA11"/>
  <c r="AG9"/>
  <c r="R7"/>
  <c r="AN12"/>
  <c r="Z9"/>
  <c r="AD12"/>
  <c r="K5"/>
  <c r="X10"/>
  <c r="AH8"/>
  <c r="BH12"/>
  <c r="L7"/>
  <c r="T9"/>
  <c r="V11"/>
  <c r="Z5"/>
  <c r="AN7"/>
  <c r="AV9"/>
  <c r="BF11"/>
  <c r="AU7"/>
  <c r="AA6"/>
  <c r="AO8"/>
  <c r="AQ10"/>
  <c r="AY12"/>
  <c r="L10"/>
  <c r="R6"/>
  <c r="AF8"/>
  <c r="AP10"/>
  <c r="AX12"/>
  <c r="F8"/>
  <c r="AJ5"/>
  <c r="S11"/>
  <c r="O12"/>
  <c r="AX7"/>
  <c r="AT10"/>
  <c r="AB11"/>
  <c r="P10"/>
  <c r="BI5"/>
  <c r="AS8"/>
  <c r="AR11"/>
  <c r="AM6"/>
  <c r="I9"/>
  <c r="BI11"/>
  <c r="AN10"/>
  <c r="BF7"/>
  <c r="AK8"/>
  <c r="AI9"/>
  <c r="AM12"/>
  <c r="BG11"/>
  <c r="J7"/>
  <c r="BM9"/>
  <c r="AF12"/>
  <c r="BK7"/>
  <c r="AJ10"/>
  <c r="L12"/>
  <c r="BB5"/>
  <c r="BE6"/>
  <c r="BH7"/>
  <c r="BK8"/>
  <c r="I10"/>
  <c r="F11"/>
  <c r="I12"/>
  <c r="J5"/>
  <c r="U6"/>
  <c r="X7"/>
  <c r="AA8"/>
  <c r="AF9"/>
  <c r="AK10"/>
  <c r="AP11"/>
  <c r="BA12"/>
  <c r="BH6"/>
  <c r="H5"/>
  <c r="K6"/>
  <c r="V7"/>
  <c r="Y8"/>
  <c r="V9"/>
  <c r="AA10"/>
  <c r="AF11"/>
  <c r="AI12"/>
  <c r="T6"/>
  <c r="AU9"/>
  <c r="AJ12"/>
  <c r="BK5"/>
  <c r="M7"/>
  <c r="P8"/>
  <c r="U9"/>
  <c r="Z10"/>
  <c r="AE11"/>
  <c r="AH12"/>
  <c r="W4"/>
  <c r="Y4"/>
  <c r="U4"/>
  <c r="J4"/>
  <c r="AZ4"/>
  <c r="AX4"/>
  <c r="L4"/>
  <c r="AW4"/>
  <c r="AD4"/>
  <c r="AG4"/>
  <c r="AT4"/>
  <c r="AL4"/>
  <c r="M4"/>
  <c r="AB4"/>
  <c r="AK4"/>
  <c r="AA4"/>
  <c r="BI4"/>
  <c r="BK2"/>
  <c r="H2"/>
  <c r="T2"/>
  <c r="AC2"/>
  <c r="BA2"/>
  <c r="AY2"/>
  <c r="AJ2"/>
  <c r="AI2"/>
  <c r="AR2"/>
  <c r="AS2"/>
  <c r="S2"/>
  <c r="AU2"/>
  <c r="BC2"/>
  <c r="BB2"/>
  <c r="O2"/>
  <c r="AM2"/>
  <c r="AE2"/>
  <c r="AO2"/>
  <c r="BD2"/>
  <c r="R2"/>
  <c r="AH2"/>
  <c r="BG2"/>
  <c r="AP2"/>
  <c r="P2"/>
  <c r="BM2"/>
  <c r="BJ2"/>
  <c r="BL2"/>
  <c r="N2"/>
  <c r="G2"/>
  <c r="I2"/>
  <c r="AN2"/>
  <c r="F2"/>
  <c r="X2"/>
  <c r="BF2"/>
  <c r="AQ2"/>
  <c r="Z2"/>
  <c r="K2"/>
  <c r="BH2"/>
  <c r="BE2"/>
  <c r="AF2"/>
  <c r="V2"/>
  <c r="Q2"/>
  <c r="AV2"/>
  <c r="W2"/>
  <c r="Y2"/>
  <c r="U2"/>
  <c r="J2"/>
  <c r="AZ2"/>
  <c r="AX2"/>
  <c r="L2"/>
  <c r="AW2"/>
  <c r="AD2"/>
  <c r="AG2"/>
  <c r="AT2"/>
  <c r="AL2"/>
  <c r="M2"/>
  <c r="AB2"/>
  <c r="AK2"/>
  <c r="AA2"/>
  <c r="BI2"/>
</calcChain>
</file>

<file path=xl/sharedStrings.xml><?xml version="1.0" encoding="utf-8"?>
<sst xmlns="http://schemas.openxmlformats.org/spreadsheetml/2006/main" count="31" uniqueCount="31">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</sst>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##V3_BDHV12</stp>
        <stp>RECFSSHC Index</stp>
        <stp>PR005</stp>
        <stp>-60CQ</stp>
        <stp>2018/3/14</stp>
        <stp>[BI_REITN_1_b5z5atgk.xlsx]ReferenceData!R33C6</stp>
        <stp>Per=CQ</stp>
        <stp>Dts=H</stp>
        <stp>Dir=H</stp>
        <stp>Points=60</stp>
        <stp>Sort=R</stp>
        <stp>Days=A</stp>
        <stp>Fill=B</stp>
        <stp>FX=USD</stp>
        <tr r="F33" s="3"/>
      </tp>
      <tp t="s">
        <v>#N/A Requesting Data...</v>
        <stp/>
        <stp>##V3_BDHV12</stp>
        <stp>RECFTDHC Index</stp>
        <stp>PR005</stp>
        <stp>-60CQ</stp>
        <stp>2018/3/14</stp>
        <stp>[BI_REITN_1_b5z5atgk.xlsx]ReferenceData!R36C6</stp>
        <stp>Per=CQ</stp>
        <stp>Dts=H</stp>
        <stp>Dir=H</stp>
        <stp>Points=60</stp>
        <stp>Sort=R</stp>
        <stp>Days=A</stp>
        <stp>Fill=B</stp>
        <stp>FX=USD</stp>
        <tr r="F36" s="3"/>
      </tp>
      <tp t="s">
        <v>#N/A Requesting Data...</v>
        <stp/>
        <stp>##V3_BDHV12</stp>
        <stp>RECFTAHC Index</stp>
        <stp>PR005</stp>
        <stp>-60CQ</stp>
        <stp>2018/3/14</stp>
        <stp>[BI_REITN_1_b5z5atgk.xlsx]ReferenceData!R30C6</stp>
        <stp>Per=CQ</stp>
        <stp>Dts=H</stp>
        <stp>Dir=H</stp>
        <stp>Points=60</stp>
        <stp>Sort=R</stp>
        <stp>Days=A</stp>
        <stp>Fill=B</stp>
        <stp>FX=USD</stp>
        <tr r="F30" s="3"/>
      </tp>
      <tp t="s">
        <v>#N/A Requesting Data...</v>
        <stp/>
        <stp>##V3_BDHV12</stp>
        <stp>RECFFOHC Index</stp>
        <stp>PR005</stp>
        <stp>-60CQ</stp>
        <stp>2018/3/14</stp>
        <stp>[BI_REITN_1_b5z5atgk.xlsx]ReferenceData!R34C6</stp>
        <stp>Per=CQ</stp>
        <stp>Dts=H</stp>
        <stp>Dir=H</stp>
        <stp>Points=60</stp>
        <stp>Sort=R</stp>
        <stp>Days=A</stp>
        <stp>Fill=B</stp>
        <stp>FX=USD</stp>
        <tr r="F34" s="3"/>
      </tp>
      <tp t="s">
        <v>#N/A Requesting Data...</v>
        <stp/>
        <stp>##V3_BDHV12</stp>
        <stp>RECFDVHC Index</stp>
        <stp>PR005</stp>
        <stp>-60CQ</stp>
        <stp>2018/3/14</stp>
        <stp>[BI_REITN_1_b5z5atgk.xlsx]ReferenceData!R37C6</stp>
        <stp>Per=CQ</stp>
        <stp>Dts=H</stp>
        <stp>Dir=H</stp>
        <stp>Points=60</stp>
        <stp>Sort=R</stp>
        <stp>Days=A</stp>
        <stp>Fill=B</stp>
        <stp>FX=USD</stp>
        <tr r="F37" s="3"/>
      </tp>
      <tp t="s">
        <v>#N/A Requesting Data...</v>
        <stp/>
        <stp>##V3_BDHV12</stp>
        <stp>RECFDSHC Index</stp>
        <stp>PR005</stp>
        <stp>-60CQ</stp>
        <stp>2018/3/14</stp>
        <stp>[BI_REITN_1_b5z5atgk.xlsx]ReferenceData!R31C6</stp>
        <stp>Per=CQ</stp>
        <stp>Dts=H</stp>
        <stp>Dir=H</stp>
        <stp>Points=60</stp>
        <stp>Sort=R</stp>
        <stp>Days=A</stp>
        <stp>Fill=B</stp>
        <stp>FX=USD</stp>
        <tr r="F31" s="3"/>
      </tp>
      <tp t="s">
        <v>#N/A Requesting Data...</v>
        <stp/>
        <stp>##V3_BDHV12</stp>
        <stp>RECFNOHC Index</stp>
        <stp>PR005</stp>
        <stp>-60CQ</stp>
        <stp>2018/3/14</stp>
        <stp>[BI_REITN_1_b5z5atgk.xlsx]ReferenceData!R35C6</stp>
        <stp>Per=CQ</stp>
        <stp>Dts=H</stp>
        <stp>Dir=H</stp>
        <stp>Points=60</stp>
        <stp>Sort=R</stp>
        <stp>Days=A</stp>
        <stp>Fill=B</stp>
        <stp>FX=USD</stp>
        <tr r="F35" s="3"/>
      </tp>
      <tp t="s">
        <v>#N/A Requesting Data...</v>
        <stp/>
        <stp>##V3_BDHV12</stp>
        <stp>RECFNAHC Index</stp>
        <stp>PR005</stp>
        <stp>-60CQ</stp>
        <stp>2018/3/14</stp>
        <stp>[BI_REITN_1_b5z5atgk.xlsx]ReferenceData!R32C6</stp>
        <stp>Per=CQ</stp>
        <stp>Dts=H</stp>
        <stp>Dir=H</stp>
        <stp>Points=60</stp>
        <stp>Sort=R</stp>
        <stp>Days=A</stp>
        <stp>Fill=B</stp>
        <stp>FX=USD</stp>
        <tr r="F32" s="3"/>
      </tp>
    </main>
    <main first="bloomberg.ccyreader">
      <tp>
        <v>0</v>
        <stp/>
        <stp>#track</stp>
        <stp>DBG</stp>
        <stp>BIHITX</stp>
        <stp>1.0</stp>
        <stp>RepeatHit</stp>
        <tr r="A22" s="3"/>
      </tp>
    </main>
    <main first="bloomberg.rtd">
      <tp t="s">
        <v>#N/A Requesting Data...</v>
        <stp/>
        <stp>##V3_BDHV12</stp>
        <stp>RECFTAHC Index</stp>
        <stp>PR005</stp>
        <stp>-60CQ</stp>
        <stp>2018/3/14</stp>
        <stp>[BI_REITN_1_b5z5atgk.xlsx]ReferenceData!R58C3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8" s="3"/>
      </tp>
      <tp t="s">
        <v>#N/A Requesting Data...</v>
        <stp/>
        <stp>##V3_BDHV12</stp>
        <stp>RECFTAHC Index</stp>
        <stp>PR005</stp>
        <stp>-60CQ</stp>
        <stp>2018/3/13</stp>
        <stp>[BI_REITN_1_b5z5atgk.xlsx]ReferenceData!R50C3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0" s="3"/>
      </tp>
      <tp t="s">
        <v>#N/A Requesting Data...</v>
        <stp/>
        <stp>##V3_BDHV12</stp>
        <stp>RECFDSHC Index</stp>
        <stp>PR005</stp>
        <stp>-60CQ</stp>
        <stp>2018/3/14</stp>
        <stp>[BI_REITN_1_b5z5atgk.xlsx]ReferenceData!R60C3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60" s="3"/>
      </tp>
      <tp t="s">
        <v>#N/A Requesting Data...</v>
        <stp/>
        <stp>##V3_BDHV12</stp>
        <stp>RECFDSHC Index</stp>
        <stp>PR005</stp>
        <stp>-60CQ</stp>
        <stp>2018/3/13</stp>
        <stp>[BI_REITN_1_b5z5atgk.xlsx]ReferenceData!R52C3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2" s="3"/>
      </tp>
      <tp t="s">
        <v>#N/A Requesting Data...</v>
        <stp/>
        <stp>##V3_BDHV12</stp>
        <stp>RECFNAHC Index</stp>
        <stp>PR005</stp>
        <stp>-60CQ</stp>
        <stp>2018/3/14</stp>
        <stp>[BI_REITN_1_b5z5atgk.xlsx]ReferenceData!R62C3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62" s="3"/>
      </tp>
      <tp t="s">
        <v>#N/A Requesting Data...</v>
        <stp/>
        <stp>##V3_BDHV12</stp>
        <stp>RECFNAHC Index</stp>
        <stp>PR005</stp>
        <stp>-60CQ</stp>
        <stp>2018/3/13</stp>
        <stp>[BI_REITN_1_b5z5atgk.xlsx]ReferenceData!R54C3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2"/>
  <sheetViews>
    <sheetView tabSelected="1" workbookViewId="0"/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2017 Q4</v>
      </c>
      <c r="G2" t="str">
        <f>IFERROR(IF(0=LEN(ReferenceData!$G$2),"",ReferenceData!$G$2),"")</f>
        <v>2017 Q3</v>
      </c>
      <c r="H2" t="str">
        <f>IFERROR(IF(0=LEN(ReferenceData!$H$2),"",ReferenceData!$H$2),"")</f>
        <v>2017 Q2</v>
      </c>
      <c r="I2" t="str">
        <f>IFERROR(IF(0=LEN(ReferenceData!$I$2),"",ReferenceData!$I$2),"")</f>
        <v>2017 Q1</v>
      </c>
      <c r="J2" t="str">
        <f>IFERROR(IF(0=LEN(ReferenceData!$J$2),"",ReferenceData!$J$2),"")</f>
        <v>2016 Q4</v>
      </c>
      <c r="K2" t="str">
        <f>IFERROR(IF(0=LEN(ReferenceData!$K$2),"",ReferenceData!$K$2),"")</f>
        <v>2016 Q3</v>
      </c>
      <c r="L2" t="str">
        <f>IFERROR(IF(0=LEN(ReferenceData!$L$2),"",ReferenceData!$L$2),"")</f>
        <v>2016 Q2</v>
      </c>
      <c r="M2" t="str">
        <f>IFERROR(IF(0=LEN(ReferenceData!$M$2),"",ReferenceData!$M$2),"")</f>
        <v>2016 Q1</v>
      </c>
      <c r="N2" t="str">
        <f>IFERROR(IF(0=LEN(ReferenceData!$N$2),"",ReferenceData!$N$2),"")</f>
        <v>2015 Q4</v>
      </c>
      <c r="O2" t="str">
        <f>IFERROR(IF(0=LEN(ReferenceData!$O$2),"",ReferenceData!$O$2),"")</f>
        <v>2015 Q3</v>
      </c>
      <c r="P2" t="str">
        <f>IFERROR(IF(0=LEN(ReferenceData!$P$2),"",ReferenceData!$P$2),"")</f>
        <v>2015 Q2</v>
      </c>
      <c r="Q2" t="str">
        <f>IFERROR(IF(0=LEN(ReferenceData!$Q$2),"",ReferenceData!$Q$2),"")</f>
        <v>2015 Q1</v>
      </c>
      <c r="R2" t="str">
        <f>IFERROR(IF(0=LEN(ReferenceData!$R$2),"",ReferenceData!$R$2),"")</f>
        <v>2014 Q4</v>
      </c>
      <c r="S2" t="str">
        <f>IFERROR(IF(0=LEN(ReferenceData!$S$2),"",ReferenceData!$S$2),"")</f>
        <v>2014 Q3</v>
      </c>
      <c r="T2" t="str">
        <f>IFERROR(IF(0=LEN(ReferenceData!$T$2),"",ReferenceData!$T$2),"")</f>
        <v>2014 Q2</v>
      </c>
      <c r="U2" t="str">
        <f>IFERROR(IF(0=LEN(ReferenceData!$U$2),"",ReferenceData!$U$2),"")</f>
        <v>2014 Q1</v>
      </c>
      <c r="V2" t="str">
        <f>IFERROR(IF(0=LEN(ReferenceData!$V$2),"",ReferenceData!$V$2),"")</f>
        <v>2013 Q4</v>
      </c>
      <c r="W2" t="str">
        <f>IFERROR(IF(0=LEN(ReferenceData!$W$2),"",ReferenceData!$W$2),"")</f>
        <v>2013 Q3</v>
      </c>
      <c r="X2" t="str">
        <f>IFERROR(IF(0=LEN(ReferenceData!$X$2),"",ReferenceData!$X$2),"")</f>
        <v>2013 Q2</v>
      </c>
      <c r="Y2" t="str">
        <f>IFERROR(IF(0=LEN(ReferenceData!$Y$2),"",ReferenceData!$Y$2),"")</f>
        <v>2013 Q1</v>
      </c>
      <c r="Z2" t="str">
        <f>IFERROR(IF(0=LEN(ReferenceData!$Z$2),"",ReferenceData!$Z$2),"")</f>
        <v>2012 Q4</v>
      </c>
      <c r="AA2" t="str">
        <f>IFERROR(IF(0=LEN(ReferenceData!$AA$2),"",ReferenceData!$AA$2),"")</f>
        <v>2012 Q3</v>
      </c>
      <c r="AB2" t="str">
        <f>IFERROR(IF(0=LEN(ReferenceData!$AB$2),"",ReferenceData!$AB$2),"")</f>
        <v>2012 Q2</v>
      </c>
      <c r="AC2" t="str">
        <f>IFERROR(IF(0=LEN(ReferenceData!$AC$2),"",ReferenceData!$AC$2),"")</f>
        <v>2012 Q1</v>
      </c>
      <c r="AD2" t="str">
        <f>IFERROR(IF(0=LEN(ReferenceData!$AD$2),"",ReferenceData!$AD$2),"")</f>
        <v>2011 Q4</v>
      </c>
      <c r="AE2" t="str">
        <f>IFERROR(IF(0=LEN(ReferenceData!$AE$2),"",ReferenceData!$AE$2),"")</f>
        <v>2011 Q3</v>
      </c>
      <c r="AF2" t="str">
        <f>IFERROR(IF(0=LEN(ReferenceData!$AF$2),"",ReferenceData!$AF$2),"")</f>
        <v>2011 Q2</v>
      </c>
      <c r="AG2" t="str">
        <f>IFERROR(IF(0=LEN(ReferenceData!$AG$2),"",ReferenceData!$AG$2),"")</f>
        <v>2011 Q1</v>
      </c>
      <c r="AH2" t="str">
        <f>IFERROR(IF(0=LEN(ReferenceData!$AH$2),"",ReferenceData!$AH$2),"")</f>
        <v>2010 Q4</v>
      </c>
      <c r="AI2" t="str">
        <f>IFERROR(IF(0=LEN(ReferenceData!$AI$2),"",ReferenceData!$AI$2),"")</f>
        <v>2010 Q3</v>
      </c>
      <c r="AJ2" t="str">
        <f>IFERROR(IF(0=LEN(ReferenceData!$AJ$2),"",ReferenceData!$AJ$2),"")</f>
        <v>2010 Q2</v>
      </c>
      <c r="AK2" t="str">
        <f>IFERROR(IF(0=LEN(ReferenceData!$AK$2),"",ReferenceData!$AK$2),"")</f>
        <v>2010 Q1</v>
      </c>
      <c r="AL2" t="str">
        <f>IFERROR(IF(0=LEN(ReferenceData!$AL$2),"",ReferenceData!$AL$2),"")</f>
        <v>2009 Q4</v>
      </c>
      <c r="AM2" t="str">
        <f>IFERROR(IF(0=LEN(ReferenceData!$AM$2),"",ReferenceData!$AM$2),"")</f>
        <v>2009 Q3</v>
      </c>
      <c r="AN2" t="str">
        <f>IFERROR(IF(0=LEN(ReferenceData!$AN$2),"",ReferenceData!$AN$2),"")</f>
        <v>2009 Q2</v>
      </c>
      <c r="AO2" t="str">
        <f>IFERROR(IF(0=LEN(ReferenceData!$AO$2),"",ReferenceData!$AO$2),"")</f>
        <v>2009 Q1</v>
      </c>
      <c r="AP2" t="str">
        <f>IFERROR(IF(0=LEN(ReferenceData!$AP$2),"",ReferenceData!$AP$2),"")</f>
        <v>2008 Q4</v>
      </c>
      <c r="AQ2" t="str">
        <f>IFERROR(IF(0=LEN(ReferenceData!$AQ$2),"",ReferenceData!$AQ$2),"")</f>
        <v>2008 Q3</v>
      </c>
      <c r="AR2" t="str">
        <f>IFERROR(IF(0=LEN(ReferenceData!$AR$2),"",ReferenceData!$AR$2),"")</f>
        <v>2008 Q2</v>
      </c>
      <c r="AS2" t="str">
        <f>IFERROR(IF(0=LEN(ReferenceData!$AS$2),"",ReferenceData!$AS$2),"")</f>
        <v>2008 Q1</v>
      </c>
      <c r="AT2" t="str">
        <f>IFERROR(IF(0=LEN(ReferenceData!$AT$2),"",ReferenceData!$AT$2),"")</f>
        <v>2007 Q4</v>
      </c>
      <c r="AU2" t="str">
        <f>IFERROR(IF(0=LEN(ReferenceData!$AU$2),"",ReferenceData!$AU$2),"")</f>
        <v>2007 Q3</v>
      </c>
      <c r="AV2" t="str">
        <f>IFERROR(IF(0=LEN(ReferenceData!$AV$2),"",ReferenceData!$AV$2),"")</f>
        <v>2007 Q2</v>
      </c>
      <c r="AW2" t="str">
        <f>IFERROR(IF(0=LEN(ReferenceData!$AW$2),"",ReferenceData!$AW$2),"")</f>
        <v>2007 Q1</v>
      </c>
      <c r="AX2" t="str">
        <f>IFERROR(IF(0=LEN(ReferenceData!$AX$2),"",ReferenceData!$AX$2),"")</f>
        <v>2006 Q4</v>
      </c>
      <c r="AY2" t="str">
        <f>IFERROR(IF(0=LEN(ReferenceData!$AY$2),"",ReferenceData!$AY$2),"")</f>
        <v>2006 Q3</v>
      </c>
      <c r="AZ2" t="str">
        <f>IFERROR(IF(0=LEN(ReferenceData!$AZ$2),"",ReferenceData!$AZ$2),"")</f>
        <v>2006 Q2</v>
      </c>
      <c r="BA2" t="str">
        <f>IFERROR(IF(0=LEN(ReferenceData!$BA$2),"",ReferenceData!$BA$2),"")</f>
        <v>2006 Q1</v>
      </c>
      <c r="BB2" t="str">
        <f>IFERROR(IF(0=LEN(ReferenceData!$BB$2),"",ReferenceData!$BB$2),"")</f>
        <v>2005 Q4</v>
      </c>
      <c r="BC2" t="str">
        <f>IFERROR(IF(0=LEN(ReferenceData!$BC$2),"",ReferenceData!$BC$2),"")</f>
        <v>2005 Q3</v>
      </c>
      <c r="BD2" t="str">
        <f>IFERROR(IF(0=LEN(ReferenceData!$BD$2),"",ReferenceData!$BD$2),"")</f>
        <v>2005 Q2</v>
      </c>
      <c r="BE2" t="str">
        <f>IFERROR(IF(0=LEN(ReferenceData!$BE$2),"",ReferenceData!$BE$2),"")</f>
        <v>2005 Q1</v>
      </c>
      <c r="BF2" t="str">
        <f>IFERROR(IF(0=LEN(ReferenceData!$BF$2),"",ReferenceData!$BF$2),"")</f>
        <v>2004 Q4</v>
      </c>
      <c r="BG2" t="str">
        <f>IFERROR(IF(0=LEN(ReferenceData!$BG$2),"",ReferenceData!$BG$2),"")</f>
        <v>2004 Q3</v>
      </c>
      <c r="BH2" t="str">
        <f>IFERROR(IF(0=LEN(ReferenceData!$BH$2),"",ReferenceData!$BH$2),"")</f>
        <v>2004 Q2</v>
      </c>
      <c r="BI2" t="str">
        <f>IFERROR(IF(0=LEN(ReferenceData!$BI$2),"",ReferenceData!$BI$2),"")</f>
        <v>2004 Q1</v>
      </c>
      <c r="BJ2" t="str">
        <f>IFERROR(IF(0=LEN(ReferenceData!$BJ$2),"",ReferenceData!$BJ$2),"")</f>
        <v>2003 Q4</v>
      </c>
      <c r="BK2" t="str">
        <f>IFERROR(IF(0=LEN(ReferenceData!$BK$2),"",ReferenceData!$BK$2),"")</f>
        <v>2003 Q3</v>
      </c>
      <c r="BL2" t="str">
        <f>IFERROR(IF(0=LEN(ReferenceData!$BL$2),"",ReferenceData!$BL$2),"")</f>
        <v>2003 Q2</v>
      </c>
      <c r="BM2" t="str">
        <f>IFERROR(IF(0=LEN(ReferenceData!$BM$2),"",ReferenceData!$BM$2),"")</f>
        <v>2003 Q1</v>
      </c>
    </row>
    <row r="3" spans="1:65">
      <c r="A3" t="str">
        <f>IFERROR(IF(0=LEN(ReferenceData!$A$3),"",ReferenceData!$A$3),"")</f>
        <v>NAREIT T-Tracker数据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标题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</row>
    <row r="4" spans="1:65">
      <c r="A4" t="str">
        <f>IFERROR(IF(0=LEN(ReferenceData!$A$4),"",ReferenceData!$A$4),"")</f>
        <v>医疗保健房地产投资信托数据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静态</v>
      </c>
      <c r="F4" t="str">
        <f ca="1">IFERROR(IF(0=LEN(ReferenceData!$F$4),"",ReferenceData!$F$4),"")</f>
        <v/>
      </c>
      <c r="G4" t="str">
        <f ca="1">IFERROR(IF(0=LEN(ReferenceData!$G$4),"",ReferenceData!$G$4),"")</f>
        <v/>
      </c>
      <c r="H4" t="str">
        <f ca="1">IFERROR(IF(0=LEN(ReferenceData!$H$4),"",ReferenceData!$H$4),"")</f>
        <v/>
      </c>
      <c r="I4" t="str">
        <f ca="1">IFERROR(IF(0=LEN(ReferenceData!$I$4),"",ReferenceData!$I$4),"")</f>
        <v/>
      </c>
      <c r="J4" t="str">
        <f ca="1">IFERROR(IF(0=LEN(ReferenceData!$J$4),"",ReferenceData!$J$4),"")</f>
        <v/>
      </c>
      <c r="K4" t="str">
        <f ca="1">IFERROR(IF(0=LEN(ReferenceData!$K$4),"",ReferenceData!$K$4),"")</f>
        <v/>
      </c>
      <c r="L4" t="str">
        <f ca="1">IFERROR(IF(0=LEN(ReferenceData!$L$4),"",ReferenceData!$L$4),"")</f>
        <v/>
      </c>
      <c r="M4" t="str">
        <f ca="1">IFERROR(IF(0=LEN(ReferenceData!$M$4),"",ReferenceData!$M$4),"")</f>
        <v/>
      </c>
      <c r="N4" t="str">
        <f ca="1">IFERROR(IF(0=LEN(ReferenceData!$N$4),"",ReferenceData!$N$4),"")</f>
        <v/>
      </c>
      <c r="O4" t="str">
        <f ca="1">IFERROR(IF(0=LEN(ReferenceData!$O$4),"",ReferenceData!$O$4),"")</f>
        <v/>
      </c>
      <c r="P4" t="str">
        <f ca="1">IFERROR(IF(0=LEN(ReferenceData!$P$4),"",ReferenceData!$P$4),"")</f>
        <v/>
      </c>
      <c r="Q4" t="str">
        <f ca="1">IFERROR(IF(0=LEN(ReferenceData!$Q$4),"",ReferenceData!$Q$4),"")</f>
        <v/>
      </c>
      <c r="R4" t="str">
        <f ca="1">IFERROR(IF(0=LEN(ReferenceData!$R$4),"",ReferenceData!$R$4),"")</f>
        <v/>
      </c>
      <c r="S4" t="str">
        <f ca="1">IFERROR(IF(0=LEN(ReferenceData!$S$4),"",ReferenceData!$S$4),"")</f>
        <v/>
      </c>
      <c r="T4" t="str">
        <f ca="1">IFERROR(IF(0=LEN(ReferenceData!$T$4),"",ReferenceData!$T$4),"")</f>
        <v/>
      </c>
      <c r="U4" t="str">
        <f ca="1">IFERROR(IF(0=LEN(ReferenceData!$U$4),"",ReferenceData!$U$4),"")</f>
        <v/>
      </c>
      <c r="V4" t="str">
        <f ca="1">IFERROR(IF(0=LEN(ReferenceData!$V$4),"",ReferenceData!$V$4),"")</f>
        <v/>
      </c>
      <c r="W4" t="str">
        <f ca="1">IFERROR(IF(0=LEN(ReferenceData!$W$4),"",ReferenceData!$W$4),"")</f>
        <v/>
      </c>
      <c r="X4" t="str">
        <f ca="1">IFERROR(IF(0=LEN(ReferenceData!$X$4),"",ReferenceData!$X$4),"")</f>
        <v/>
      </c>
      <c r="Y4" t="str">
        <f ca="1">IFERROR(IF(0=LEN(ReferenceData!$Y$4),"",ReferenceData!$Y$4),"")</f>
        <v/>
      </c>
      <c r="Z4" t="str">
        <f ca="1">IFERROR(IF(0=LEN(ReferenceData!$Z$4),"",ReferenceData!$Z$4),"")</f>
        <v/>
      </c>
      <c r="AA4" t="str">
        <f ca="1">IFERROR(IF(0=LEN(ReferenceData!$AA$4),"",ReferenceData!$AA$4),"")</f>
        <v/>
      </c>
      <c r="AB4" t="str">
        <f ca="1">IFERROR(IF(0=LEN(ReferenceData!$AB$4),"",ReferenceData!$AB$4),"")</f>
        <v/>
      </c>
      <c r="AC4" t="str">
        <f ca="1">IFERROR(IF(0=LEN(ReferenceData!$AC$4),"",ReferenceData!$AC$4),"")</f>
        <v/>
      </c>
      <c r="AD4" t="str">
        <f ca="1">IFERROR(IF(0=LEN(ReferenceData!$AD$4),"",ReferenceData!$AD$4),"")</f>
        <v/>
      </c>
      <c r="AE4" t="str">
        <f ca="1">IFERROR(IF(0=LEN(ReferenceData!$AE$4),"",ReferenceData!$AE$4),"")</f>
        <v/>
      </c>
      <c r="AF4" t="str">
        <f ca="1">IFERROR(IF(0=LEN(ReferenceData!$AF$4),"",ReferenceData!$AF$4),"")</f>
        <v/>
      </c>
      <c r="AG4" t="str">
        <f ca="1">IFERROR(IF(0=LEN(ReferenceData!$AG$4),"",ReferenceData!$AG$4),"")</f>
        <v/>
      </c>
      <c r="AH4" t="str">
        <f ca="1">IFERROR(IF(0=LEN(ReferenceData!$AH$4),"",ReferenceData!$AH$4),"")</f>
        <v/>
      </c>
      <c r="AI4" t="str">
        <f ca="1">IFERROR(IF(0=LEN(ReferenceData!$AI$4),"",ReferenceData!$AI$4),"")</f>
        <v/>
      </c>
      <c r="AJ4" t="str">
        <f ca="1">IFERROR(IF(0=LEN(ReferenceData!$AJ$4),"",ReferenceData!$AJ$4),"")</f>
        <v/>
      </c>
      <c r="AK4" t="str">
        <f ca="1">IFERROR(IF(0=LEN(ReferenceData!$AK$4),"",ReferenceData!$AK$4),"")</f>
        <v/>
      </c>
      <c r="AL4" t="str">
        <f ca="1">IFERROR(IF(0=LEN(ReferenceData!$AL$4),"",ReferenceData!$AL$4),"")</f>
        <v/>
      </c>
      <c r="AM4" t="str">
        <f ca="1">IFERROR(IF(0=LEN(ReferenceData!$AM$4),"",ReferenceData!$AM$4),"")</f>
        <v/>
      </c>
      <c r="AN4" t="str">
        <f ca="1">IFERROR(IF(0=LEN(ReferenceData!$AN$4),"",ReferenceData!$AN$4),"")</f>
        <v/>
      </c>
      <c r="AO4" t="str">
        <f ca="1">IFERROR(IF(0=LEN(ReferenceData!$AO$4),"",ReferenceData!$AO$4),"")</f>
        <v/>
      </c>
      <c r="AP4" t="str">
        <f ca="1">IFERROR(IF(0=LEN(ReferenceData!$AP$4),"",ReferenceData!$AP$4),"")</f>
        <v/>
      </c>
      <c r="AQ4" t="str">
        <f ca="1">IFERROR(IF(0=LEN(ReferenceData!$AQ$4),"",ReferenceData!$AQ$4),"")</f>
        <v/>
      </c>
      <c r="AR4" t="str">
        <f ca="1">IFERROR(IF(0=LEN(ReferenceData!$AR$4),"",ReferenceData!$AR$4),"")</f>
        <v/>
      </c>
      <c r="AS4" t="str">
        <f ca="1">IFERROR(IF(0=LEN(ReferenceData!$AS$4),"",ReferenceData!$AS$4),"")</f>
        <v/>
      </c>
      <c r="AT4" t="str">
        <f ca="1">IFERROR(IF(0=LEN(ReferenceData!$AT$4),"",ReferenceData!$AT$4),"")</f>
        <v/>
      </c>
      <c r="AU4" t="str">
        <f ca="1">IFERROR(IF(0=LEN(ReferenceData!$AU$4),"",ReferenceData!$AU$4),"")</f>
        <v/>
      </c>
      <c r="AV4" t="str">
        <f ca="1">IFERROR(IF(0=LEN(ReferenceData!$AV$4),"",ReferenceData!$AV$4),"")</f>
        <v/>
      </c>
      <c r="AW4" t="str">
        <f ca="1">IFERROR(IF(0=LEN(ReferenceData!$AW$4),"",ReferenceData!$AW$4),"")</f>
        <v/>
      </c>
      <c r="AX4" t="str">
        <f ca="1">IFERROR(IF(0=LEN(ReferenceData!$AX$4),"",ReferenceData!$AX$4),"")</f>
        <v/>
      </c>
      <c r="AY4" t="str">
        <f ca="1">IFERROR(IF(0=LEN(ReferenceData!$AY$4),"",ReferenceData!$AY$4),"")</f>
        <v/>
      </c>
      <c r="AZ4" t="str">
        <f ca="1">IFERROR(IF(0=LEN(ReferenceData!$AZ$4),"",ReferenceData!$AZ$4),"")</f>
        <v/>
      </c>
      <c r="BA4" t="str">
        <f ca="1">IFERROR(IF(0=LEN(ReferenceData!$BA$4),"",ReferenceData!$BA$4),"")</f>
        <v/>
      </c>
      <c r="BB4" t="str">
        <f ca="1">IFERROR(IF(0=LEN(ReferenceData!$BB$4),"",ReferenceData!$BB$4),"")</f>
        <v/>
      </c>
      <c r="BC4" t="str">
        <f ca="1">IFERROR(IF(0=LEN(ReferenceData!$BC$4),"",ReferenceData!$BC$4),"")</f>
        <v/>
      </c>
      <c r="BD4" t="str">
        <f ca="1">IFERROR(IF(0=LEN(ReferenceData!$BD$4),"",ReferenceData!$BD$4),"")</f>
        <v/>
      </c>
      <c r="BE4" t="str">
        <f ca="1">IFERROR(IF(0=LEN(ReferenceData!$BE$4),"",ReferenceData!$BE$4),"")</f>
        <v/>
      </c>
      <c r="BF4" t="str">
        <f ca="1">IFERROR(IF(0=LEN(ReferenceData!$BF$4),"",ReferenceData!$BF$4),"")</f>
        <v/>
      </c>
      <c r="BG4" t="str">
        <f ca="1">IFERROR(IF(0=LEN(ReferenceData!$BG$4),"",ReferenceData!$BG$4),"")</f>
        <v/>
      </c>
      <c r="BH4" t="str">
        <f ca="1">IFERROR(IF(0=LEN(ReferenceData!$BH$4),"",ReferenceData!$BH$4),"")</f>
        <v/>
      </c>
      <c r="BI4" t="str">
        <f ca="1">IFERROR(IF(0=LEN(ReferenceData!$BI$4),"",ReferenceData!$BI$4),"")</f>
        <v/>
      </c>
      <c r="BJ4" t="str">
        <f ca="1">IFERROR(IF(0=LEN(ReferenceData!$BJ$4),"",ReferenceData!$BJ$4),"")</f>
        <v/>
      </c>
      <c r="BK4" t="str">
        <f ca="1">IFERROR(IF(0=LEN(ReferenceData!$BK$4),"",ReferenceData!$BK$4),"")</f>
        <v/>
      </c>
      <c r="BL4" t="str">
        <f ca="1">IFERROR(IF(0=LEN(ReferenceData!$BL$4),"",ReferenceData!$BL$4),"")</f>
        <v/>
      </c>
      <c r="BM4" t="str">
        <f ca="1">IFERROR(IF(0=LEN(ReferenceData!$BM$4),"",ReferenceData!$BM$4),"")</f>
        <v/>
      </c>
    </row>
    <row r="5" spans="1:65">
      <c r="A5" t="str">
        <f>IFERROR(IF(0=LEN(ReferenceData!$A$5),"",ReferenceData!$A$5),"")</f>
        <v xml:space="preserve">    医疗保健房地产投资信托同店净营业利润增长</v>
      </c>
      <c r="B5" t="str">
        <f>IFERROR(IF(0=LEN(ReferenceData!$B$5),"",ReferenceData!$B$5),"")</f>
        <v>RECFSSHC Index</v>
      </c>
      <c r="C5" t="str">
        <f>IFERROR(IF(0=LEN(ReferenceData!$C$5),"",ReferenceData!$C$5),"")</f>
        <v>PR005</v>
      </c>
      <c r="D5" t="str">
        <f>IFERROR(IF(0=LEN(ReferenceData!$D$5),"",ReferenceData!$D$5),"")</f>
        <v>PX_LAST</v>
      </c>
      <c r="E5" t="str">
        <f>IFERROR(IF(0=LEN(ReferenceData!$E$5),"",ReferenceData!$E$5),"")</f>
        <v>动态</v>
      </c>
      <c r="F5">
        <f ca="1">IFERROR(IF(0=LEN(ReferenceData!$F$5),"",ReferenceData!$F$5),"")</f>
        <v>2.0788181259999998</v>
      </c>
      <c r="G5">
        <f ca="1">IFERROR(IF(0=LEN(ReferenceData!$G$5),"",ReferenceData!$G$5),"")</f>
        <v>1.9553645589999999</v>
      </c>
      <c r="H5">
        <f ca="1">IFERROR(IF(0=LEN(ReferenceData!$H$5),"",ReferenceData!$H$5),"")</f>
        <v>1.8331075509999999</v>
      </c>
      <c r="I5">
        <f ca="1">IFERROR(IF(0=LEN(ReferenceData!$I$5),"",ReferenceData!$I$5),"")</f>
        <v>2.6336127349999998</v>
      </c>
      <c r="J5">
        <f ca="1">IFERROR(IF(0=LEN(ReferenceData!$J$5),"",ReferenceData!$J$5),"")</f>
        <v>2.3077531819999999</v>
      </c>
      <c r="K5">
        <f ca="1">IFERROR(IF(0=LEN(ReferenceData!$K$5),"",ReferenceData!$K$5),"")</f>
        <v>2.4916117010000001</v>
      </c>
      <c r="L5">
        <f ca="1">IFERROR(IF(0=LEN(ReferenceData!$L$5),"",ReferenceData!$L$5),"")</f>
        <v>3.2355277999999998</v>
      </c>
      <c r="M5">
        <f ca="1">IFERROR(IF(0=LEN(ReferenceData!$M$5),"",ReferenceData!$M$5),"")</f>
        <v>1.6954389240000001</v>
      </c>
      <c r="N5">
        <f ca="1">IFERROR(IF(0=LEN(ReferenceData!$N$5),"",ReferenceData!$N$5),"")</f>
        <v>1.2561532950000001</v>
      </c>
      <c r="O5">
        <f ca="1">IFERROR(IF(0=LEN(ReferenceData!$O$5),"",ReferenceData!$O$5),"")</f>
        <v>1.970905804</v>
      </c>
      <c r="P5">
        <f ca="1">IFERROR(IF(0=LEN(ReferenceData!$P$5),"",ReferenceData!$P$5),"")</f>
        <v>1.537237915</v>
      </c>
      <c r="Q5">
        <f ca="1">IFERROR(IF(0=LEN(ReferenceData!$Q$5),"",ReferenceData!$Q$5),"")</f>
        <v>3.1382668119999999</v>
      </c>
      <c r="R5">
        <f ca="1">IFERROR(IF(0=LEN(ReferenceData!$R$5),"",ReferenceData!$R$5),"")</f>
        <v>3.3944676139999999</v>
      </c>
      <c r="S5">
        <f ca="1">IFERROR(IF(0=LEN(ReferenceData!$S$5),"",ReferenceData!$S$5),"")</f>
        <v>3.5435120850000001</v>
      </c>
      <c r="T5">
        <f ca="1">IFERROR(IF(0=LEN(ReferenceData!$T$5),"",ReferenceData!$T$5),"")</f>
        <v>3.5840971800000001</v>
      </c>
      <c r="U5">
        <f ca="1">IFERROR(IF(0=LEN(ReferenceData!$U$5),"",ReferenceData!$U$5),"")</f>
        <v>3.725343826</v>
      </c>
      <c r="V5">
        <f ca="1">IFERROR(IF(0=LEN(ReferenceData!$V$5),"",ReferenceData!$V$5),"")</f>
        <v>3.457972405</v>
      </c>
      <c r="W5">
        <f ca="1">IFERROR(IF(0=LEN(ReferenceData!$W$5),"",ReferenceData!$W$5),"")</f>
        <v>3.3590902909999998</v>
      </c>
      <c r="X5">
        <f ca="1">IFERROR(IF(0=LEN(ReferenceData!$X$5),"",ReferenceData!$X$5),"")</f>
        <v>3.0166877140000001</v>
      </c>
      <c r="Y5">
        <f ca="1">IFERROR(IF(0=LEN(ReferenceData!$Y$5),"",ReferenceData!$Y$5),"")</f>
        <v>2.554338644</v>
      </c>
      <c r="Z5">
        <f ca="1">IFERROR(IF(0=LEN(ReferenceData!$Z$5),"",ReferenceData!$Z$5),"")</f>
        <v>4.0625595040000002</v>
      </c>
      <c r="AA5">
        <f ca="1">IFERROR(IF(0=LEN(ReferenceData!$AA$5),"",ReferenceData!$AA$5),"")</f>
        <v>3.598590459</v>
      </c>
      <c r="AB5">
        <f ca="1">IFERROR(IF(0=LEN(ReferenceData!$AB$5),"",ReferenceData!$AB$5),"")</f>
        <v>2.9983022880000001</v>
      </c>
      <c r="AC5">
        <f ca="1">IFERROR(IF(0=LEN(ReferenceData!$AC$5),"",ReferenceData!$AC$5),"")</f>
        <v>4.107885392</v>
      </c>
      <c r="AD5">
        <f ca="1">IFERROR(IF(0=LEN(ReferenceData!$AD$5),"",ReferenceData!$AD$5),"")</f>
        <v>2.9506705759999998</v>
      </c>
      <c r="AE5">
        <f ca="1">IFERROR(IF(0=LEN(ReferenceData!$AE$5),"",ReferenceData!$AE$5),"")</f>
        <v>3.718062465</v>
      </c>
      <c r="AF5">
        <f ca="1">IFERROR(IF(0=LEN(ReferenceData!$AF$5),"",ReferenceData!$AF$5),"")</f>
        <v>3.258686435</v>
      </c>
      <c r="AG5">
        <f ca="1">IFERROR(IF(0=LEN(ReferenceData!$AG$5),"",ReferenceData!$AG$5),"")</f>
        <v>4.7056443889999997</v>
      </c>
      <c r="AH5">
        <f ca="1">IFERROR(IF(0=LEN(ReferenceData!$AH$5),"",ReferenceData!$AH$5),"")</f>
        <v>5.6141905650000004</v>
      </c>
      <c r="AI5">
        <f ca="1">IFERROR(IF(0=LEN(ReferenceData!$AI$5),"",ReferenceData!$AI$5),"")</f>
        <v>5.1655843859999999</v>
      </c>
      <c r="AJ5">
        <f ca="1">IFERROR(IF(0=LEN(ReferenceData!$AJ$5),"",ReferenceData!$AJ$5),"")</f>
        <v>5.7038993170000003</v>
      </c>
      <c r="AK5">
        <f ca="1">IFERROR(IF(0=LEN(ReferenceData!$AK$5),"",ReferenceData!$AK$5),"")</f>
        <v>3.7130456519999999</v>
      </c>
      <c r="AL5">
        <f ca="1">IFERROR(IF(0=LEN(ReferenceData!$AL$5),"",ReferenceData!$AL$5),"")</f>
        <v>2.2978087600000001</v>
      </c>
      <c r="AM5">
        <f ca="1">IFERROR(IF(0=LEN(ReferenceData!$AM$5),"",ReferenceData!$AM$5),"")</f>
        <v>3.3280920909999998</v>
      </c>
      <c r="AN5">
        <f ca="1">IFERROR(IF(0=LEN(ReferenceData!$AN$5),"",ReferenceData!$AN$5),"")</f>
        <v>4.6756319619999998</v>
      </c>
      <c r="AO5">
        <f ca="1">IFERROR(IF(0=LEN(ReferenceData!$AO$5),"",ReferenceData!$AO$5),"")</f>
        <v>2.9697423590000001</v>
      </c>
      <c r="AP5">
        <f ca="1">IFERROR(IF(0=LEN(ReferenceData!$AP$5),"",ReferenceData!$AP$5),"")</f>
        <v>0</v>
      </c>
      <c r="AQ5">
        <f ca="1">IFERROR(IF(0=LEN(ReferenceData!$AQ$5),"",ReferenceData!$AQ$5),"")</f>
        <v>0</v>
      </c>
      <c r="AR5">
        <f ca="1">IFERROR(IF(0=LEN(ReferenceData!$AR$5),"",ReferenceData!$AR$5),"")</f>
        <v>0</v>
      </c>
      <c r="AS5">
        <f ca="1">IFERROR(IF(0=LEN(ReferenceData!$AS$5),"",ReferenceData!$AS$5),"")</f>
        <v>2.3259606719999999</v>
      </c>
      <c r="AT5">
        <f ca="1">IFERROR(IF(0=LEN(ReferenceData!$AT$5),"",ReferenceData!$AT$5),"")</f>
        <v>0</v>
      </c>
      <c r="AU5">
        <f ca="1">IFERROR(IF(0=LEN(ReferenceData!$AU$5),"",ReferenceData!$AU$5),"")</f>
        <v>0</v>
      </c>
      <c r="AV5">
        <f ca="1">IFERROR(IF(0=LEN(ReferenceData!$AV$5),"",ReferenceData!$AV$5),"")</f>
        <v>0</v>
      </c>
      <c r="AW5">
        <f ca="1">IFERROR(IF(0=LEN(ReferenceData!$AW$5),"",ReferenceData!$AW$5),"")</f>
        <v>3.433277479</v>
      </c>
      <c r="AX5">
        <f ca="1">IFERROR(IF(0=LEN(ReferenceData!$AX$5),"",ReferenceData!$AX$5),"")</f>
        <v>0</v>
      </c>
      <c r="AY5">
        <f ca="1">IFERROR(IF(0=LEN(ReferenceData!$AY$5),"",ReferenceData!$AY$5),"")</f>
        <v>0</v>
      </c>
      <c r="AZ5">
        <f ca="1">IFERROR(IF(0=LEN(ReferenceData!$AZ$5),"",ReferenceData!$AZ$5),"")</f>
        <v>0</v>
      </c>
      <c r="BA5">
        <f ca="1">IFERROR(IF(0=LEN(ReferenceData!$BA$5),"",ReferenceData!$BA$5),"")</f>
        <v>1.7399090939999999</v>
      </c>
      <c r="BB5">
        <f ca="1">IFERROR(IF(0=LEN(ReferenceData!$BB$5),"",ReferenceData!$BB$5),"")</f>
        <v>0</v>
      </c>
      <c r="BC5">
        <f ca="1">IFERROR(IF(0=LEN(ReferenceData!$BC$5),"",ReferenceData!$BC$5),"")</f>
        <v>0</v>
      </c>
      <c r="BD5">
        <f ca="1">IFERROR(IF(0=LEN(ReferenceData!$BD$5),"",ReferenceData!$BD$5),"")</f>
        <v>0</v>
      </c>
      <c r="BE5">
        <f ca="1">IFERROR(IF(0=LEN(ReferenceData!$BE$5),"",ReferenceData!$BE$5),"")</f>
        <v>0</v>
      </c>
      <c r="BF5">
        <f ca="1">IFERROR(IF(0=LEN(ReferenceData!$BF$5),"",ReferenceData!$BF$5),"")</f>
        <v>0</v>
      </c>
      <c r="BG5">
        <f ca="1">IFERROR(IF(0=LEN(ReferenceData!$BG$5),"",ReferenceData!$BG$5),"")</f>
        <v>0</v>
      </c>
      <c r="BH5">
        <f ca="1">IFERROR(IF(0=LEN(ReferenceData!$BH$5),"",ReferenceData!$BH$5),"")</f>
        <v>0</v>
      </c>
      <c r="BI5">
        <f ca="1">IFERROR(IF(0=LEN(ReferenceData!$BI$5),"",ReferenceData!$BI$5),"")</f>
        <v>0</v>
      </c>
      <c r="BJ5">
        <f ca="1">IFERROR(IF(0=LEN(ReferenceData!$BJ$5),"",ReferenceData!$BJ$5),"")</f>
        <v>0</v>
      </c>
      <c r="BK5">
        <f ca="1">IFERROR(IF(0=LEN(ReferenceData!$BK$5),"",ReferenceData!$BK$5),"")</f>
        <v>0</v>
      </c>
      <c r="BL5">
        <f ca="1">IFERROR(IF(0=LEN(ReferenceData!$BL$5),"",ReferenceData!$BL$5),"")</f>
        <v>0</v>
      </c>
      <c r="BM5">
        <f ca="1">IFERROR(IF(0=LEN(ReferenceData!$BM$5),"",ReferenceData!$BM$5),"")</f>
        <v>0</v>
      </c>
    </row>
    <row r="6" spans="1:65">
      <c r="A6" t="str">
        <f>IFERROR(IF(0=LEN(ReferenceData!$A$6),"",ReferenceData!$A$6),"")</f>
        <v xml:space="preserve">    医疗保健房地产投资信托总营运现金流</v>
      </c>
      <c r="B6" t="str">
        <f>IFERROR(IF(0=LEN(ReferenceData!$B$6),"",ReferenceData!$B$6),"")</f>
        <v>RECFFOHC Index</v>
      </c>
      <c r="C6" t="str">
        <f>IFERROR(IF(0=LEN(ReferenceData!$C$6),"",ReferenceData!$C$6),"")</f>
        <v>PR005</v>
      </c>
      <c r="D6" t="str">
        <f>IFERROR(IF(0=LEN(ReferenceData!$D$6),"",ReferenceData!$D$6),"")</f>
        <v>PX_LAST</v>
      </c>
      <c r="E6" t="str">
        <f>IFERROR(IF(0=LEN(ReferenceData!$E$6),"",ReferenceData!$E$6),"")</f>
        <v>动态</v>
      </c>
      <c r="F6">
        <f ca="1">IFERROR(IF(0=LEN(ReferenceData!$F$6),"",ReferenceData!$F$6),"")</f>
        <v>1406.0893639999999</v>
      </c>
      <c r="G6">
        <f ca="1">IFERROR(IF(0=LEN(ReferenceData!$G$6),"",ReferenceData!$G$6),"")</f>
        <v>1349.1759999999999</v>
      </c>
      <c r="H6">
        <f ca="1">IFERROR(IF(0=LEN(ReferenceData!$H$6),"",ReferenceData!$H$6),"")</f>
        <v>1674.8209999999999</v>
      </c>
      <c r="I6">
        <f ca="1">IFERROR(IF(0=LEN(ReferenceData!$I$6),"",ReferenceData!$I$6),"")</f>
        <v>1796.6590000000001</v>
      </c>
      <c r="J6">
        <f ca="1">IFERROR(IF(0=LEN(ReferenceData!$J$6),"",ReferenceData!$J$6),"")</f>
        <v>1724.0519999999999</v>
      </c>
      <c r="K6">
        <f ca="1">IFERROR(IF(0=LEN(ReferenceData!$K$6),"",ReferenceData!$K$6),"")</f>
        <v>1743.4829999999999</v>
      </c>
      <c r="L6">
        <f ca="1">IFERROR(IF(0=LEN(ReferenceData!$L$6),"",ReferenceData!$L$6),"")</f>
        <v>1829.711</v>
      </c>
      <c r="M6">
        <f ca="1">IFERROR(IF(0=LEN(ReferenceData!$M$6),"",ReferenceData!$M$6),"")</f>
        <v>1743.3789999999999</v>
      </c>
      <c r="N6">
        <f ca="1">IFERROR(IF(0=LEN(ReferenceData!$N$6),"",ReferenceData!$N$6),"")</f>
        <v>883.22799999999995</v>
      </c>
      <c r="O6">
        <f ca="1">IFERROR(IF(0=LEN(ReferenceData!$O$6),"",ReferenceData!$O$6),"")</f>
        <v>1531.7819999999999</v>
      </c>
      <c r="P6">
        <f ca="1">IFERROR(IF(0=LEN(ReferenceData!$P$6),"",ReferenceData!$P$6),"")</f>
        <v>1469.5909999999999</v>
      </c>
      <c r="Q6">
        <f ca="1">IFERROR(IF(0=LEN(ReferenceData!$Q$6),"",ReferenceData!$Q$6),"")</f>
        <v>1017.204</v>
      </c>
      <c r="R6">
        <f ca="1">IFERROR(IF(0=LEN(ReferenceData!$R$6),"",ReferenceData!$R$6),"")</f>
        <v>1402.614</v>
      </c>
      <c r="S6">
        <f ca="1">IFERROR(IF(0=LEN(ReferenceData!$S$6),"",ReferenceData!$S$6),"")</f>
        <v>1440.933</v>
      </c>
      <c r="T6">
        <f ca="1">IFERROR(IF(0=LEN(ReferenceData!$T$6),"",ReferenceData!$T$6),"")</f>
        <v>1235.931</v>
      </c>
      <c r="U6">
        <f ca="1">IFERROR(IF(0=LEN(ReferenceData!$U$6),"",ReferenceData!$U$6),"")</f>
        <v>1286.212</v>
      </c>
      <c r="V6">
        <f ca="1">IFERROR(IF(0=LEN(ReferenceData!$V$6),"",ReferenceData!$V$6),"")</f>
        <v>1282.704</v>
      </c>
      <c r="W6">
        <f ca="1">IFERROR(IF(0=LEN(ReferenceData!$W$6),"",ReferenceData!$W$6),"")</f>
        <v>1204.8140000000001</v>
      </c>
      <c r="X6">
        <f ca="1">IFERROR(IF(0=LEN(ReferenceData!$X$6),"",ReferenceData!$X$6),"")</f>
        <v>1135.4190000000001</v>
      </c>
      <c r="Y6">
        <f ca="1">IFERROR(IF(0=LEN(ReferenceData!$Y$6),"",ReferenceData!$Y$6),"")</f>
        <v>1076.135</v>
      </c>
      <c r="Z6">
        <f ca="1">IFERROR(IF(0=LEN(ReferenceData!$Z$6),"",ReferenceData!$Z$6),"")</f>
        <v>1081.5550000000001</v>
      </c>
      <c r="AA6">
        <f ca="1">IFERROR(IF(0=LEN(ReferenceData!$AA$6),"",ReferenceData!$AA$6),"")</f>
        <v>988.38599999999997</v>
      </c>
      <c r="AB6">
        <f ca="1">IFERROR(IF(0=LEN(ReferenceData!$AB$6),"",ReferenceData!$AB$6),"")</f>
        <v>930.17899999999997</v>
      </c>
      <c r="AC6">
        <f ca="1">IFERROR(IF(0=LEN(ReferenceData!$AC$6),"",ReferenceData!$AC$6),"")</f>
        <v>868.34699999999998</v>
      </c>
      <c r="AD6">
        <f ca="1">IFERROR(IF(0=LEN(ReferenceData!$AD$6),"",ReferenceData!$AD$6),"")</f>
        <v>860.88199999999995</v>
      </c>
      <c r="AE6">
        <f ca="1">IFERROR(IF(0=LEN(ReferenceData!$AE$6),"",ReferenceData!$AE$6),"")</f>
        <v>872.30399999999997</v>
      </c>
      <c r="AF6">
        <f ca="1">IFERROR(IF(0=LEN(ReferenceData!$AF$6),"",ReferenceData!$AF$6),"")</f>
        <v>766.19500000000005</v>
      </c>
      <c r="AG6">
        <f ca="1">IFERROR(IF(0=LEN(ReferenceData!$AG$6),"",ReferenceData!$AG$6),"")</f>
        <v>582.32899999999995</v>
      </c>
      <c r="AH6">
        <f ca="1">IFERROR(IF(0=LEN(ReferenceData!$AH$6),"",ReferenceData!$AH$6),"")</f>
        <v>527.197</v>
      </c>
      <c r="AI6">
        <f ca="1">IFERROR(IF(0=LEN(ReferenceData!$AI$6),"",ReferenceData!$AI$6),"")</f>
        <v>478.11099999999999</v>
      </c>
      <c r="AJ6">
        <f ca="1">IFERROR(IF(0=LEN(ReferenceData!$AJ$6),"",ReferenceData!$AJ$6),"")</f>
        <v>562.58000000000004</v>
      </c>
      <c r="AK6">
        <f ca="1">IFERROR(IF(0=LEN(ReferenceData!$AK$6),"",ReferenceData!$AK$6),"")</f>
        <v>547.36800000000005</v>
      </c>
      <c r="AL6">
        <f ca="1">IFERROR(IF(0=LEN(ReferenceData!$AL$6),"",ReferenceData!$AL$6),"")</f>
        <v>519.84199999999998</v>
      </c>
      <c r="AM6">
        <f ca="1">IFERROR(IF(0=LEN(ReferenceData!$AM$6),"",ReferenceData!$AM$6),"")</f>
        <v>423.98700000000002</v>
      </c>
      <c r="AN6">
        <f ca="1">IFERROR(IF(0=LEN(ReferenceData!$AN$6),"",ReferenceData!$AN$6),"")</f>
        <v>563.44899999999996</v>
      </c>
      <c r="AO6">
        <f ca="1">IFERROR(IF(0=LEN(ReferenceData!$AO$6),"",ReferenceData!$AO$6),"")</f>
        <v>435.50700000000001</v>
      </c>
      <c r="AP6">
        <f ca="1">IFERROR(IF(0=LEN(ReferenceData!$AP$6),"",ReferenceData!$AP$6),"")</f>
        <v>492.39699999999999</v>
      </c>
      <c r="AQ6">
        <f ca="1">IFERROR(IF(0=LEN(ReferenceData!$AQ$6),"",ReferenceData!$AQ$6),"")</f>
        <v>580.57600000000002</v>
      </c>
      <c r="AR6">
        <f ca="1">IFERROR(IF(0=LEN(ReferenceData!$AR$6),"",ReferenceData!$AR$6),"")</f>
        <v>490.96300000000002</v>
      </c>
      <c r="AS6">
        <f ca="1">IFERROR(IF(0=LEN(ReferenceData!$AS$6),"",ReferenceData!$AS$6),"")</f>
        <v>488.29500000000002</v>
      </c>
      <c r="AT6">
        <f ca="1">IFERROR(IF(0=LEN(ReferenceData!$AT$6),"",ReferenceData!$AT$6),"")</f>
        <v>477.13299999999998</v>
      </c>
      <c r="AU6">
        <f ca="1">IFERROR(IF(0=LEN(ReferenceData!$AU$6),"",ReferenceData!$AU$6),"")</f>
        <v>474.23200000000003</v>
      </c>
      <c r="AV6">
        <f ca="1">IFERROR(IF(0=LEN(ReferenceData!$AV$6),"",ReferenceData!$AV$6),"")</f>
        <v>472.14100000000002</v>
      </c>
      <c r="AW6">
        <f ca="1">IFERROR(IF(0=LEN(ReferenceData!$AW$6),"",ReferenceData!$AW$6),"")</f>
        <v>416.49</v>
      </c>
      <c r="AX6">
        <f ca="1">IFERROR(IF(0=LEN(ReferenceData!$AX$6),"",ReferenceData!$AX$6),"")</f>
        <v>366.21499999999997</v>
      </c>
      <c r="AY6">
        <f ca="1">IFERROR(IF(0=LEN(ReferenceData!$AY$6),"",ReferenceData!$AY$6),"")</f>
        <v>348.40800000000002</v>
      </c>
      <c r="AZ6">
        <f ca="1">IFERROR(IF(0=LEN(ReferenceData!$AZ$6),"",ReferenceData!$AZ$6),"")</f>
        <v>346.70100000000002</v>
      </c>
      <c r="BA6">
        <f ca="1">IFERROR(IF(0=LEN(ReferenceData!$BA$6),"",ReferenceData!$BA$6),"")</f>
        <v>330.31599999999997</v>
      </c>
      <c r="BB6">
        <f ca="1">IFERROR(IF(0=LEN(ReferenceData!$BB$6),"",ReferenceData!$BB$6),"")</f>
        <v>324.92950000000002</v>
      </c>
      <c r="BC6">
        <f ca="1">IFERROR(IF(0=LEN(ReferenceData!$BC$6),"",ReferenceData!$BC$6),"")</f>
        <v>302.50799999999998</v>
      </c>
      <c r="BD6">
        <f ca="1">IFERROR(IF(0=LEN(ReferenceData!$BD$6),"",ReferenceData!$BD$6),"")</f>
        <v>260.90899999999999</v>
      </c>
      <c r="BE6">
        <f ca="1">IFERROR(IF(0=LEN(ReferenceData!$BE$6),"",ReferenceData!$BE$6),"")</f>
        <v>285.55200000000002</v>
      </c>
      <c r="BF6">
        <f ca="1">IFERROR(IF(0=LEN(ReferenceData!$BF$6),"",ReferenceData!$BF$6),"")</f>
        <v>280.51</v>
      </c>
      <c r="BG6">
        <f ca="1">IFERROR(IF(0=LEN(ReferenceData!$BG$6),"",ReferenceData!$BG$6),"")</f>
        <v>254.05799999999999</v>
      </c>
      <c r="BH6">
        <f ca="1">IFERROR(IF(0=LEN(ReferenceData!$BH$6),"",ReferenceData!$BH$6),"")</f>
        <v>254.65</v>
      </c>
      <c r="BI6">
        <f ca="1">IFERROR(IF(0=LEN(ReferenceData!$BI$6),"",ReferenceData!$BI$6),"")</f>
        <v>185.631</v>
      </c>
      <c r="BJ6">
        <f ca="1">IFERROR(IF(0=LEN(ReferenceData!$BJ$6),"",ReferenceData!$BJ$6),"")</f>
        <v>238.29400000000001</v>
      </c>
      <c r="BK6">
        <f ca="1">IFERROR(IF(0=LEN(ReferenceData!$BK$6),"",ReferenceData!$BK$6),"")</f>
        <v>239.654</v>
      </c>
      <c r="BL6">
        <f ca="1">IFERROR(IF(0=LEN(ReferenceData!$BL$6),"",ReferenceData!$BL$6),"")</f>
        <v>215.02</v>
      </c>
      <c r="BM6">
        <f ca="1">IFERROR(IF(0=LEN(ReferenceData!$BM$6),"",ReferenceData!$BM$6),"")</f>
        <v>230.358</v>
      </c>
    </row>
    <row r="7" spans="1:65">
      <c r="A7" t="str">
        <f>IFERROR(IF(0=LEN(ReferenceData!$A$7),"",ReferenceData!$A$7),"")</f>
        <v xml:space="preserve">    医疗保健房地产投资信托净营业利润总额</v>
      </c>
      <c r="B7" t="str">
        <f>IFERROR(IF(0=LEN(ReferenceData!$B$7),"",ReferenceData!$B$7),"")</f>
        <v>RECFNOHC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动态</v>
      </c>
      <c r="F7">
        <f ca="1">IFERROR(IF(0=LEN(ReferenceData!$F$7),"",ReferenceData!$F$7),"")</f>
        <v>2452.5352290000001</v>
      </c>
      <c r="G7">
        <f ca="1">IFERROR(IF(0=LEN(ReferenceData!$G$7),"",ReferenceData!$G$7),"")</f>
        <v>2420.8919999999998</v>
      </c>
      <c r="H7">
        <f ca="1">IFERROR(IF(0=LEN(ReferenceData!$H$7),"",ReferenceData!$H$7),"")</f>
        <v>2437.7420000000002</v>
      </c>
      <c r="I7">
        <f ca="1">IFERROR(IF(0=LEN(ReferenceData!$I$7),"",ReferenceData!$I$7),"")</f>
        <v>2456.806</v>
      </c>
      <c r="J7">
        <f ca="1">IFERROR(IF(0=LEN(ReferenceData!$J$7),"",ReferenceData!$J$7),"")</f>
        <v>2480.453</v>
      </c>
      <c r="K7">
        <f ca="1">IFERROR(IF(0=LEN(ReferenceData!$K$7),"",ReferenceData!$K$7),"")</f>
        <v>2345.9110000000001</v>
      </c>
      <c r="L7">
        <f ca="1">IFERROR(IF(0=LEN(ReferenceData!$L$7),"",ReferenceData!$L$7),"")</f>
        <v>2311.6889999999999</v>
      </c>
      <c r="M7">
        <f ca="1">IFERROR(IF(0=LEN(ReferenceData!$M$7),"",ReferenceData!$M$7),"")</f>
        <v>2262.2959999999998</v>
      </c>
      <c r="N7">
        <f ca="1">IFERROR(IF(0=LEN(ReferenceData!$N$7),"",ReferenceData!$N$7),"")</f>
        <v>2231.431</v>
      </c>
      <c r="O7">
        <f ca="1">IFERROR(IF(0=LEN(ReferenceData!$O$7),"",ReferenceData!$O$7),"")</f>
        <v>2164.0880000000002</v>
      </c>
      <c r="P7">
        <f ca="1">IFERROR(IF(0=LEN(ReferenceData!$P$7),"",ReferenceData!$P$7),"")</f>
        <v>1983.317</v>
      </c>
      <c r="Q7">
        <f ca="1">IFERROR(IF(0=LEN(ReferenceData!$Q$7),"",ReferenceData!$Q$7),"")</f>
        <v>1906.8009999999999</v>
      </c>
      <c r="R7">
        <f ca="1">IFERROR(IF(0=LEN(ReferenceData!$R$7),"",ReferenceData!$R$7),"")</f>
        <v>1839.94</v>
      </c>
      <c r="S7">
        <f ca="1">IFERROR(IF(0=LEN(ReferenceData!$S$7),"",ReferenceData!$S$7),"")</f>
        <v>1798.2940000000001</v>
      </c>
      <c r="T7">
        <f ca="1">IFERROR(IF(0=LEN(ReferenceData!$T$7),"",ReferenceData!$T$7),"")</f>
        <v>1784.63</v>
      </c>
      <c r="U7">
        <f ca="1">IFERROR(IF(0=LEN(ReferenceData!$U$7),"",ReferenceData!$U$7),"")</f>
        <v>1692.3979999999999</v>
      </c>
      <c r="V7">
        <f ca="1">IFERROR(IF(0=LEN(ReferenceData!$V$7),"",ReferenceData!$V$7),"")</f>
        <v>1659.6569999999999</v>
      </c>
      <c r="W7">
        <f ca="1">IFERROR(IF(0=LEN(ReferenceData!$W$7),"",ReferenceData!$W$7),"")</f>
        <v>1529.13</v>
      </c>
      <c r="X7">
        <f ca="1">IFERROR(IF(0=LEN(ReferenceData!$X$7),"",ReferenceData!$X$7),"")</f>
        <v>1474.711</v>
      </c>
      <c r="Y7">
        <f ca="1">IFERROR(IF(0=LEN(ReferenceData!$Y$7),"",ReferenceData!$Y$7),"")</f>
        <v>1459.452</v>
      </c>
      <c r="Z7">
        <f ca="1">IFERROR(IF(0=LEN(ReferenceData!$Z$7),"",ReferenceData!$Z$7),"")</f>
        <v>1341.84</v>
      </c>
      <c r="AA7">
        <f ca="1">IFERROR(IF(0=LEN(ReferenceData!$AA$7),"",ReferenceData!$AA$7),"")</f>
        <v>1283.6769999999999</v>
      </c>
      <c r="AB7">
        <f ca="1">IFERROR(IF(0=LEN(ReferenceData!$AB$7),"",ReferenceData!$AB$7),"")</f>
        <v>1248.443</v>
      </c>
      <c r="AC7">
        <f ca="1">IFERROR(IF(0=LEN(ReferenceData!$AC$7),"",ReferenceData!$AC$7),"")</f>
        <v>1214.9659999999999</v>
      </c>
      <c r="AD7">
        <f ca="1">IFERROR(IF(0=LEN(ReferenceData!$AD$7),"",ReferenceData!$AD$7),"")</f>
        <v>1208.5899999999999</v>
      </c>
      <c r="AE7">
        <f ca="1">IFERROR(IF(0=LEN(ReferenceData!$AE$7),"",ReferenceData!$AE$7),"")</f>
        <v>1164.576</v>
      </c>
      <c r="AF7">
        <f ca="1">IFERROR(IF(0=LEN(ReferenceData!$AF$7),"",ReferenceData!$AF$7),"")</f>
        <v>1012.5650000000001</v>
      </c>
      <c r="AG7">
        <f ca="1">IFERROR(IF(0=LEN(ReferenceData!$AG$7),"",ReferenceData!$AG$7),"")</f>
        <v>986.35500000000002</v>
      </c>
      <c r="AH7">
        <f ca="1">IFERROR(IF(0=LEN(ReferenceData!$AH$7),"",ReferenceData!$AH$7),"")</f>
        <v>925.22799999999995</v>
      </c>
      <c r="AI7">
        <f ca="1">IFERROR(IF(0=LEN(ReferenceData!$AI$7),"",ReferenceData!$AI$7),"")</f>
        <v>870.93</v>
      </c>
      <c r="AJ7">
        <f ca="1">IFERROR(IF(0=LEN(ReferenceData!$AJ$7),"",ReferenceData!$AJ$7),"")</f>
        <v>852.81100000000004</v>
      </c>
      <c r="AK7">
        <f ca="1">IFERROR(IF(0=LEN(ReferenceData!$AK$7),"",ReferenceData!$AK$7),"")</f>
        <v>827.90099999999995</v>
      </c>
      <c r="AL7">
        <f ca="1">IFERROR(IF(0=LEN(ReferenceData!$AL$7),"",ReferenceData!$AL$7),"")</f>
        <v>804.58900000000006</v>
      </c>
      <c r="AM7">
        <f ca="1">IFERROR(IF(0=LEN(ReferenceData!$AM$7),"",ReferenceData!$AM$7),"")</f>
        <v>788.21</v>
      </c>
      <c r="AN7">
        <f ca="1">IFERROR(IF(0=LEN(ReferenceData!$AN$7),"",ReferenceData!$AN$7),"")</f>
        <v>788.01400000000001</v>
      </c>
      <c r="AO7">
        <f ca="1">IFERROR(IF(0=LEN(ReferenceData!$AO$7),"",ReferenceData!$AO$7),"")</f>
        <v>771.75400000000002</v>
      </c>
      <c r="AP7">
        <f ca="1">IFERROR(IF(0=LEN(ReferenceData!$AP$7),"",ReferenceData!$AP$7),"")</f>
        <v>764.48099999999999</v>
      </c>
      <c r="AQ7">
        <f ca="1">IFERROR(IF(0=LEN(ReferenceData!$AQ$7),"",ReferenceData!$AQ$7),"")</f>
        <v>760.31700000000001</v>
      </c>
      <c r="AR7">
        <f ca="1">IFERROR(IF(0=LEN(ReferenceData!$AR$7),"",ReferenceData!$AR$7),"")</f>
        <v>738.90499999999997</v>
      </c>
      <c r="AS7">
        <f ca="1">IFERROR(IF(0=LEN(ReferenceData!$AS$7),"",ReferenceData!$AS$7),"")</f>
        <v>703.17100000000005</v>
      </c>
      <c r="AT7">
        <f ca="1">IFERROR(IF(0=LEN(ReferenceData!$AT$7),"",ReferenceData!$AT$7),"")</f>
        <v>713.93949999999995</v>
      </c>
      <c r="AU7">
        <f ca="1">IFERROR(IF(0=LEN(ReferenceData!$AU$7),"",ReferenceData!$AU$7),"")</f>
        <v>704.05100000000004</v>
      </c>
      <c r="AV7">
        <f ca="1">IFERROR(IF(0=LEN(ReferenceData!$AV$7),"",ReferenceData!$AV$7),"")</f>
        <v>655.35</v>
      </c>
      <c r="AW7">
        <f ca="1">IFERROR(IF(0=LEN(ReferenceData!$AW$7),"",ReferenceData!$AW$7),"")</f>
        <v>641.15700000000004</v>
      </c>
      <c r="AX7">
        <f ca="1">IFERROR(IF(0=LEN(ReferenceData!$AX$7),"",ReferenceData!$AX$7),"")</f>
        <v>620.62</v>
      </c>
      <c r="AY7">
        <f ca="1">IFERROR(IF(0=LEN(ReferenceData!$AY$7),"",ReferenceData!$AY$7),"")</f>
        <v>540.54999999999995</v>
      </c>
      <c r="AZ7">
        <f ca="1">IFERROR(IF(0=LEN(ReferenceData!$AZ$7),"",ReferenceData!$AZ$7),"")</f>
        <v>520.47199999999998</v>
      </c>
      <c r="BA7">
        <f ca="1">IFERROR(IF(0=LEN(ReferenceData!$BA$7),"",ReferenceData!$BA$7),"")</f>
        <v>500.60899999999998</v>
      </c>
      <c r="BB7">
        <f ca="1">IFERROR(IF(0=LEN(ReferenceData!$BB$7),"",ReferenceData!$BB$7),"")</f>
        <v>483.084</v>
      </c>
      <c r="BC7">
        <f ca="1">IFERROR(IF(0=LEN(ReferenceData!$BC$7),"",ReferenceData!$BC$7),"")</f>
        <v>465.08100000000002</v>
      </c>
      <c r="BD7">
        <f ca="1">IFERROR(IF(0=LEN(ReferenceData!$BD$7),"",ReferenceData!$BD$7),"")</f>
        <v>418.21</v>
      </c>
      <c r="BE7">
        <f ca="1">IFERROR(IF(0=LEN(ReferenceData!$BE$7),"",ReferenceData!$BE$7),"")</f>
        <v>402.01299999999998</v>
      </c>
      <c r="BF7">
        <f ca="1">IFERROR(IF(0=LEN(ReferenceData!$BF$7),"",ReferenceData!$BF$7),"")</f>
        <v>406.23050000000001</v>
      </c>
      <c r="BG7">
        <f ca="1">IFERROR(IF(0=LEN(ReferenceData!$BG$7),"",ReferenceData!$BG$7),"")</f>
        <v>388.26100000000002</v>
      </c>
      <c r="BH7">
        <f ca="1">IFERROR(IF(0=LEN(ReferenceData!$BH$7),"",ReferenceData!$BH$7),"")</f>
        <v>373.084</v>
      </c>
      <c r="BI7">
        <f ca="1">IFERROR(IF(0=LEN(ReferenceData!$BI$7),"",ReferenceData!$BI$7),"")</f>
        <v>353.18799999999999</v>
      </c>
      <c r="BJ7">
        <f ca="1">IFERROR(IF(0=LEN(ReferenceData!$BJ$7),"",ReferenceData!$BJ$7),"")</f>
        <v>349.80349999999999</v>
      </c>
      <c r="BK7">
        <f ca="1">IFERROR(IF(0=LEN(ReferenceData!$BK$7),"",ReferenceData!$BK$7),"")</f>
        <v>340.59199999999998</v>
      </c>
      <c r="BL7">
        <f ca="1">IFERROR(IF(0=LEN(ReferenceData!$BL$7),"",ReferenceData!$BL$7),"")</f>
        <v>332.98399999999998</v>
      </c>
      <c r="BM7">
        <f ca="1">IFERROR(IF(0=LEN(ReferenceData!$BM$7),"",ReferenceData!$BM$7),"")</f>
        <v>317.61099999999999</v>
      </c>
    </row>
    <row r="8" spans="1:65">
      <c r="A8" t="str">
        <f>IFERROR(IF(0=LEN(ReferenceData!$A$8),"",ReferenceData!$A$8),"")</f>
        <v xml:space="preserve">    医疗保健房地产投资信托总股利支付</v>
      </c>
      <c r="B8" t="str">
        <f>IFERROR(IF(0=LEN(ReferenceData!$B$8),"",ReferenceData!$B$8),"")</f>
        <v>RECFTDHC Index</v>
      </c>
      <c r="C8" t="str">
        <f>IFERROR(IF(0=LEN(ReferenceData!$C$8),"",ReferenceData!$C$8),"")</f>
        <v>PR005</v>
      </c>
      <c r="D8" t="str">
        <f>IFERROR(IF(0=LEN(ReferenceData!$D$8),"",ReferenceData!$D$8),"")</f>
        <v>PX_LAST</v>
      </c>
      <c r="E8" t="str">
        <f>IFERROR(IF(0=LEN(ReferenceData!$E$8),"",ReferenceData!$E$8),"")</f>
        <v>动态</v>
      </c>
      <c r="F8">
        <f ca="1">IFERROR(IF(0=LEN(ReferenceData!$F$8),"",ReferenceData!$F$8),"")</f>
        <v>1228.3517750000001</v>
      </c>
      <c r="G8">
        <f ca="1">IFERROR(IF(0=LEN(ReferenceData!$G$8),"",ReferenceData!$G$8),"")</f>
        <v>1422.9690000000001</v>
      </c>
      <c r="H8">
        <f ca="1">IFERROR(IF(0=LEN(ReferenceData!$H$8),"",ReferenceData!$H$8),"")</f>
        <v>1440.0360000000001</v>
      </c>
      <c r="I8">
        <f ca="1">IFERROR(IF(0=LEN(ReferenceData!$I$8),"",ReferenceData!$I$8),"")</f>
        <v>1464.155</v>
      </c>
      <c r="J8">
        <f ca="1">IFERROR(IF(0=LEN(ReferenceData!$J$8),"",ReferenceData!$J$8),"")</f>
        <v>1370.623</v>
      </c>
      <c r="K8">
        <f ca="1">IFERROR(IF(0=LEN(ReferenceData!$K$8),"",ReferenceData!$K$8),"")</f>
        <v>1581.662</v>
      </c>
      <c r="L8">
        <f ca="1">IFERROR(IF(0=LEN(ReferenceData!$L$8),"",ReferenceData!$L$8),"")</f>
        <v>1475.89</v>
      </c>
      <c r="M8">
        <f ca="1">IFERROR(IF(0=LEN(ReferenceData!$M$8),"",ReferenceData!$M$8),"")</f>
        <v>1459.078</v>
      </c>
      <c r="N8">
        <f ca="1">IFERROR(IF(0=LEN(ReferenceData!$N$8),"",ReferenceData!$N$8),"")</f>
        <v>1370.3889999999999</v>
      </c>
      <c r="O8">
        <f ca="1">IFERROR(IF(0=LEN(ReferenceData!$O$8),"",ReferenceData!$O$8),"")</f>
        <v>2604.002</v>
      </c>
      <c r="P8">
        <f ca="1">IFERROR(IF(0=LEN(ReferenceData!$P$8),"",ReferenceData!$P$8),"")</f>
        <v>1271.2</v>
      </c>
      <c r="Q8">
        <f ca="1">IFERROR(IF(0=LEN(ReferenceData!$Q$8),"",ReferenceData!$Q$8),"")</f>
        <v>1217.393</v>
      </c>
      <c r="R8">
        <f ca="1">IFERROR(IF(0=LEN(ReferenceData!$R$8),"",ReferenceData!$R$8),"")</f>
        <v>1315.288</v>
      </c>
      <c r="S8">
        <f ca="1">IFERROR(IF(0=LEN(ReferenceData!$S$8),"",ReferenceData!$S$8),"")</f>
        <v>1129.3430000000001</v>
      </c>
      <c r="T8">
        <f ca="1">IFERROR(IF(0=LEN(ReferenceData!$T$8),"",ReferenceData!$T$8),"")</f>
        <v>1095.135</v>
      </c>
      <c r="U8">
        <f ca="1">IFERROR(IF(0=LEN(ReferenceData!$U$8),"",ReferenceData!$U$8),"")</f>
        <v>1056.519</v>
      </c>
      <c r="V8">
        <f ca="1">IFERROR(IF(0=LEN(ReferenceData!$V$8),"",ReferenceData!$V$8),"")</f>
        <v>1014.44</v>
      </c>
      <c r="W8">
        <f ca="1">IFERROR(IF(0=LEN(ReferenceData!$W$8),"",ReferenceData!$W$8),"")</f>
        <v>964.14</v>
      </c>
      <c r="X8">
        <f ca="1">IFERROR(IF(0=LEN(ReferenceData!$X$8),"",ReferenceData!$X$8),"")</f>
        <v>933.06</v>
      </c>
      <c r="Y8">
        <f ca="1">IFERROR(IF(0=LEN(ReferenceData!$Y$8),"",ReferenceData!$Y$8),"")</f>
        <v>930.03200000000004</v>
      </c>
      <c r="Z8">
        <f ca="1">IFERROR(IF(0=LEN(ReferenceData!$Z$8),"",ReferenceData!$Z$8),"")</f>
        <v>870.87300000000005</v>
      </c>
      <c r="AA8">
        <f ca="1">IFERROR(IF(0=LEN(ReferenceData!$AA$8),"",ReferenceData!$AA$8),"")</f>
        <v>808.68200000000002</v>
      </c>
      <c r="AB8">
        <f ca="1">IFERROR(IF(0=LEN(ReferenceData!$AB$8),"",ReferenceData!$AB$8),"")</f>
        <v>794.529</v>
      </c>
      <c r="AC8">
        <f ca="1">IFERROR(IF(0=LEN(ReferenceData!$AC$8),"",ReferenceData!$AC$8),"")</f>
        <v>773.51499999999999</v>
      </c>
      <c r="AD8">
        <f ca="1">IFERROR(IF(0=LEN(ReferenceData!$AD$8),"",ReferenceData!$AD$8),"")</f>
        <v>735.16700000000003</v>
      </c>
      <c r="AE8">
        <f ca="1">IFERROR(IF(0=LEN(ReferenceData!$AE$8),"",ReferenceData!$AE$8),"")</f>
        <v>714.14800000000002</v>
      </c>
      <c r="AF8">
        <f ca="1">IFERROR(IF(0=LEN(ReferenceData!$AF$8),"",ReferenceData!$AF$8),"")</f>
        <v>659.54100000000005</v>
      </c>
      <c r="AG8">
        <f ca="1">IFERROR(IF(0=LEN(ReferenceData!$AG$8),"",ReferenceData!$AG$8),"")</f>
        <v>642.13900000000001</v>
      </c>
      <c r="AH8">
        <f ca="1">IFERROR(IF(0=LEN(ReferenceData!$AH$8),"",ReferenceData!$AH$8),"")</f>
        <v>577.82399999999996</v>
      </c>
      <c r="AI8">
        <f ca="1">IFERROR(IF(0=LEN(ReferenceData!$AI$8),"",ReferenceData!$AI$8),"")</f>
        <v>559.15800000000002</v>
      </c>
      <c r="AJ8">
        <f ca="1">IFERROR(IF(0=LEN(ReferenceData!$AJ$8),"",ReferenceData!$AJ$8),"")</f>
        <v>533.08900000000006</v>
      </c>
      <c r="AK8">
        <f ca="1">IFERROR(IF(0=LEN(ReferenceData!$AK$8),"",ReferenceData!$AK$8),"")</f>
        <v>532.63699999999994</v>
      </c>
      <c r="AL8">
        <f ca="1">IFERROR(IF(0=LEN(ReferenceData!$AL$8),"",ReferenceData!$AL$8),"")</f>
        <v>521.96900000000005</v>
      </c>
      <c r="AM8">
        <f ca="1">IFERROR(IF(0=LEN(ReferenceData!$AM$8),"",ReferenceData!$AM$8),"")</f>
        <v>500.52800000000002</v>
      </c>
      <c r="AN8">
        <f ca="1">IFERROR(IF(0=LEN(ReferenceData!$AN$8),"",ReferenceData!$AN$8),"")</f>
        <v>489.798</v>
      </c>
      <c r="AO8">
        <f ca="1">IFERROR(IF(0=LEN(ReferenceData!$AO$8),"",ReferenceData!$AO$8),"")</f>
        <v>480.29700000000003</v>
      </c>
      <c r="AP8">
        <f ca="1">IFERROR(IF(0=LEN(ReferenceData!$AP$8),"",ReferenceData!$AP$8),"")</f>
        <v>489.45100000000002</v>
      </c>
      <c r="AQ8">
        <f ca="1">IFERROR(IF(0=LEN(ReferenceData!$AQ$8),"",ReferenceData!$AQ$8),"")</f>
        <v>478.40499999999997</v>
      </c>
      <c r="AR8">
        <f ca="1">IFERROR(IF(0=LEN(ReferenceData!$AR$8),"",ReferenceData!$AR$8),"")</f>
        <v>440.286</v>
      </c>
      <c r="AS8">
        <f ca="1">IFERROR(IF(0=LEN(ReferenceData!$AS$8),"",ReferenceData!$AS$8),"")</f>
        <v>441.69499999999999</v>
      </c>
      <c r="AT8">
        <f ca="1">IFERROR(IF(0=LEN(ReferenceData!$AT$8),"",ReferenceData!$AT$8),"")</f>
        <v>402.07299999999998</v>
      </c>
      <c r="AU8">
        <f ca="1">IFERROR(IF(0=LEN(ReferenceData!$AU$8),"",ReferenceData!$AU$8),"")</f>
        <v>389.69400000000002</v>
      </c>
      <c r="AV8">
        <f ca="1">IFERROR(IF(0=LEN(ReferenceData!$AV$8),"",ReferenceData!$AV$8),"")</f>
        <v>637.95100000000002</v>
      </c>
      <c r="AW8">
        <f ca="1">IFERROR(IF(0=LEN(ReferenceData!$AW$8),"",ReferenceData!$AW$8),"")</f>
        <v>400.22899999999998</v>
      </c>
      <c r="AX8">
        <f ca="1">IFERROR(IF(0=LEN(ReferenceData!$AX$8),"",ReferenceData!$AX$8),"")</f>
        <v>321.91899999999998</v>
      </c>
      <c r="AY8">
        <f ca="1">IFERROR(IF(0=LEN(ReferenceData!$AY$8),"",ReferenceData!$AY$8),"")</f>
        <v>307.988</v>
      </c>
      <c r="AZ8">
        <f ca="1">IFERROR(IF(0=LEN(ReferenceData!$AZ$8),"",ReferenceData!$AZ$8),"")</f>
        <v>311.89499999999998</v>
      </c>
      <c r="BA8">
        <f ca="1">IFERROR(IF(0=LEN(ReferenceData!$BA$8),"",ReferenceData!$BA$8),"")</f>
        <v>335.94</v>
      </c>
      <c r="BB8">
        <f ca="1">IFERROR(IF(0=LEN(ReferenceData!$BB$8),"",ReferenceData!$BB$8),"")</f>
        <v>288.06650000000002</v>
      </c>
      <c r="BC8">
        <f ca="1">IFERROR(IF(0=LEN(ReferenceData!$BC$8),"",ReferenceData!$BC$8),"")</f>
        <v>252.70599999999999</v>
      </c>
      <c r="BD8">
        <f ca="1">IFERROR(IF(0=LEN(ReferenceData!$BD$8),"",ReferenceData!$BD$8),"")</f>
        <v>293.92700000000002</v>
      </c>
      <c r="BE8">
        <f ca="1">IFERROR(IF(0=LEN(ReferenceData!$BE$8),"",ReferenceData!$BE$8),"")</f>
        <v>269.51400000000001</v>
      </c>
      <c r="BF8">
        <f ca="1">IFERROR(IF(0=LEN(ReferenceData!$BF$8),"",ReferenceData!$BF$8),"")</f>
        <v>239.85</v>
      </c>
      <c r="BG8">
        <f ca="1">IFERROR(IF(0=LEN(ReferenceData!$BG$8),"",ReferenceData!$BG$8),"")</f>
        <v>249.416</v>
      </c>
      <c r="BH8">
        <f ca="1">IFERROR(IF(0=LEN(ReferenceData!$BH$8),"",ReferenceData!$BH$8),"")</f>
        <v>237.69</v>
      </c>
      <c r="BI8">
        <f ca="1">IFERROR(IF(0=LEN(ReferenceData!$BI$8),"",ReferenceData!$BI$8),"")</f>
        <v>265.26400000000001</v>
      </c>
      <c r="BJ8">
        <f ca="1">IFERROR(IF(0=LEN(ReferenceData!$BJ$8),"",ReferenceData!$BJ$8),"")</f>
        <v>205.72300000000001</v>
      </c>
      <c r="BK8">
        <f ca="1">IFERROR(IF(0=LEN(ReferenceData!$BK$8),"",ReferenceData!$BK$8),"")</f>
        <v>257.55799999999999</v>
      </c>
      <c r="BL8">
        <f ca="1">IFERROR(IF(0=LEN(ReferenceData!$BL$8),"",ReferenceData!$BL$8),"")</f>
        <v>199.935</v>
      </c>
      <c r="BM8">
        <f ca="1">IFERROR(IF(0=LEN(ReferenceData!$BM$8),"",ReferenceData!$BM$8),"")</f>
        <v>212.97800000000001</v>
      </c>
    </row>
    <row r="9" spans="1:65">
      <c r="A9" t="str">
        <f>IFERROR(IF(0=LEN(ReferenceData!$A$9),"",ReferenceData!$A$9),"")</f>
        <v xml:space="preserve">    医疗保健房地产投资信托总收购</v>
      </c>
      <c r="B9" t="str">
        <f>IFERROR(IF(0=LEN(ReferenceData!$B$9),"",ReferenceData!$B$9),"")</f>
        <v>RECFTAHC Index</v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Expression</v>
      </c>
      <c r="F9">
        <f ca="1">IFERROR(IF(0=LEN(ReferenceData!$F$9),"",ReferenceData!$F$9),"")</f>
        <v>1238.7349999999999</v>
      </c>
      <c r="G9">
        <f ca="1">IFERROR(IF(0=LEN(ReferenceData!$G$9),"",ReferenceData!$G$9),"")</f>
        <v>2376.6439999999998</v>
      </c>
      <c r="H9">
        <f ca="1">IFERROR(IF(0=LEN(ReferenceData!$H$9),"",ReferenceData!$H$9),"")</f>
        <v>4701.1819999999998</v>
      </c>
      <c r="I9">
        <f ca="1">IFERROR(IF(0=LEN(ReferenceData!$I$9),"",ReferenceData!$I$9),"")</f>
        <v>1092.9159999999999</v>
      </c>
      <c r="J9">
        <f ca="1">IFERROR(IF(0=LEN(ReferenceData!$J$9),"",ReferenceData!$J$9),"")</f>
        <v>4196.5519999999997</v>
      </c>
      <c r="K9">
        <f ca="1">IFERROR(IF(0=LEN(ReferenceData!$K$9),"",ReferenceData!$K$9),"")</f>
        <v>3976.52</v>
      </c>
      <c r="L9">
        <f ca="1">IFERROR(IF(0=LEN(ReferenceData!$L$9),"",ReferenceData!$L$9),"")</f>
        <v>2091.002</v>
      </c>
      <c r="M9">
        <f ca="1">IFERROR(IF(0=LEN(ReferenceData!$M$9),"",ReferenceData!$M$9),"")</f>
        <v>1356.249</v>
      </c>
      <c r="N9">
        <f ca="1">IFERROR(IF(0=LEN(ReferenceData!$N$9),"",ReferenceData!$N$9),"")</f>
        <v>2313.3719999999998</v>
      </c>
      <c r="O9">
        <f ca="1">IFERROR(IF(0=LEN(ReferenceData!$O$9),"",ReferenceData!$O$9),"")</f>
        <v>4657.2579999999998</v>
      </c>
      <c r="P9">
        <f ca="1">IFERROR(IF(0=LEN(ReferenceData!$P$9),"",ReferenceData!$P$9),"")</f>
        <v>8446.777</v>
      </c>
      <c r="Q9">
        <f ca="1">IFERROR(IF(0=LEN(ReferenceData!$Q$9),"",ReferenceData!$Q$9),"")</f>
        <v>6871.951</v>
      </c>
      <c r="R9">
        <f ca="1">IFERROR(IF(0=LEN(ReferenceData!$R$9),"",ReferenceData!$R$9),"")</f>
        <v>3065.174</v>
      </c>
      <c r="S9">
        <f ca="1">IFERROR(IF(0=LEN(ReferenceData!$S$9),"",ReferenceData!$S$9),"")</f>
        <v>3249.3980000000001</v>
      </c>
      <c r="T9">
        <f ca="1">IFERROR(IF(0=LEN(ReferenceData!$T$9),"",ReferenceData!$T$9),"")</f>
        <v>2671.0889999999999</v>
      </c>
      <c r="U9">
        <f ca="1">IFERROR(IF(0=LEN(ReferenceData!$U$9),"",ReferenceData!$U$9),"")</f>
        <v>1250.57</v>
      </c>
      <c r="V9">
        <f ca="1">IFERROR(IF(0=LEN(ReferenceData!$V$9),"",ReferenceData!$V$9),"")</f>
        <v>2284.8519999999999</v>
      </c>
      <c r="W9">
        <f ca="1">IFERROR(IF(0=LEN(ReferenceData!$W$9),"",ReferenceData!$W$9),"")</f>
        <v>3032.2190000000001</v>
      </c>
      <c r="X9">
        <f ca="1">IFERROR(IF(0=LEN(ReferenceData!$X$9),"",ReferenceData!$X$9),"")</f>
        <v>1992.954</v>
      </c>
      <c r="Y9">
        <f ca="1">IFERROR(IF(0=LEN(ReferenceData!$Y$9),"",ReferenceData!$Y$9),"")</f>
        <v>2871.47</v>
      </c>
      <c r="Z9">
        <f ca="1">IFERROR(IF(0=LEN(ReferenceData!$Z$9),"",ReferenceData!$Z$9),"")</f>
        <v>5067.6980000000003</v>
      </c>
      <c r="AA9">
        <f ca="1">IFERROR(IF(0=LEN(ReferenceData!$AA$9),"",ReferenceData!$AA$9),"")</f>
        <v>2368.268</v>
      </c>
      <c r="AB9">
        <f ca="1">IFERROR(IF(0=LEN(ReferenceData!$AB$9),"",ReferenceData!$AB$9),"")</f>
        <v>1947.7860000000001</v>
      </c>
      <c r="AC9">
        <f ca="1">IFERROR(IF(0=LEN(ReferenceData!$AC$9),"",ReferenceData!$AC$9),"")</f>
        <v>1219.125</v>
      </c>
      <c r="AD9">
        <f ca="1">IFERROR(IF(0=LEN(ReferenceData!$AD$9),"",ReferenceData!$AD$9),"")</f>
        <v>5700.732</v>
      </c>
      <c r="AE9">
        <f ca="1">IFERROR(IF(0=LEN(ReferenceData!$AE$9),"",ReferenceData!$AE$9),"")</f>
        <v>8684.69</v>
      </c>
      <c r="AF9">
        <f ca="1">IFERROR(IF(0=LEN(ReferenceData!$AF$9),"",ReferenceData!$AF$9),"")</f>
        <v>12694.085999999999</v>
      </c>
      <c r="AG9">
        <f ca="1">IFERROR(IF(0=LEN(ReferenceData!$AG$9),"",ReferenceData!$AG$9),"")</f>
        <v>2345.0479999999998</v>
      </c>
      <c r="AH9">
        <f ca="1">IFERROR(IF(0=LEN(ReferenceData!$AH$9),"",ReferenceData!$AH$9),"")</f>
        <v>2651.752</v>
      </c>
      <c r="AI9">
        <f ca="1">IFERROR(IF(0=LEN(ReferenceData!$AI$9),"",ReferenceData!$AI$9),"")</f>
        <v>1340.655</v>
      </c>
      <c r="AJ9">
        <f ca="1">IFERROR(IF(0=LEN(ReferenceData!$AJ$9),"",ReferenceData!$AJ$9),"")</f>
        <v>1166.5440000000001</v>
      </c>
      <c r="AK9">
        <f ca="1">IFERROR(IF(0=LEN(ReferenceData!$AK$9),"",ReferenceData!$AK$9),"")</f>
        <v>1015.278</v>
      </c>
      <c r="AL9">
        <f ca="1">IFERROR(IF(0=LEN(ReferenceData!$AL$9),"",ReferenceData!$AL$9),"")</f>
        <v>649.53099999999995</v>
      </c>
      <c r="AM9">
        <f ca="1">IFERROR(IF(0=LEN(ReferenceData!$AM$9),"",ReferenceData!$AM$9),"")</f>
        <v>353.96499999999997</v>
      </c>
      <c r="AN9">
        <f ca="1">IFERROR(IF(0=LEN(ReferenceData!$AN$9),"",ReferenceData!$AN$9),"")</f>
        <v>94.471000000000004</v>
      </c>
      <c r="AO9">
        <f ca="1">IFERROR(IF(0=LEN(ReferenceData!$AO$9),"",ReferenceData!$AO$9),"")</f>
        <v>34.35</v>
      </c>
      <c r="AP9">
        <f ca="1">IFERROR(IF(0=LEN(ReferenceData!$AP$9),"",ReferenceData!$AP$9),"")</f>
        <v>272.96600000000001</v>
      </c>
      <c r="AQ9">
        <f ca="1">IFERROR(IF(0=LEN(ReferenceData!$AQ$9),"",ReferenceData!$AQ$9),"")</f>
        <v>623.23299999999995</v>
      </c>
      <c r="AR9">
        <f ca="1">IFERROR(IF(0=LEN(ReferenceData!$AR$9),"",ReferenceData!$AR$9),"")</f>
        <v>676.89400000000001</v>
      </c>
      <c r="AS9">
        <f ca="1">IFERROR(IF(0=LEN(ReferenceData!$AS$9),"",ReferenceData!$AS$9),"")</f>
        <v>412.18400000000003</v>
      </c>
      <c r="AT9">
        <f ca="1">IFERROR(IF(0=LEN(ReferenceData!$AT$9),"",ReferenceData!$AT$9),"")</f>
        <v>265.96899999999999</v>
      </c>
      <c r="AU9">
        <f ca="1">IFERROR(IF(0=LEN(ReferenceData!$AU$9),"",ReferenceData!$AU$9),"")</f>
        <v>435.20800000000003</v>
      </c>
      <c r="AV9">
        <f ca="1">IFERROR(IF(0=LEN(ReferenceData!$AV$9),"",ReferenceData!$AV$9),"")</f>
        <v>2552.0140000000001</v>
      </c>
      <c r="AW9">
        <f ca="1">IFERROR(IF(0=LEN(ReferenceData!$AW$9),"",ReferenceData!$AW$9),"")</f>
        <v>615.39</v>
      </c>
      <c r="AX9">
        <f ca="1">IFERROR(IF(0=LEN(ReferenceData!$AX$9),"",ReferenceData!$AX$9),"")</f>
        <v>6165.3919999999998</v>
      </c>
      <c r="AY9">
        <f ca="1">IFERROR(IF(0=LEN(ReferenceData!$AY$9),"",ReferenceData!$AY$9),"")</f>
        <v>541.49400000000003</v>
      </c>
      <c r="AZ9">
        <f ca="1">IFERROR(IF(0=LEN(ReferenceData!$AZ$9),"",ReferenceData!$AZ$9),"")</f>
        <v>762.04399999999998</v>
      </c>
      <c r="BA9">
        <f ca="1">IFERROR(IF(0=LEN(ReferenceData!$BA$9),"",ReferenceData!$BA$9),"")</f>
        <v>621.18100000000004</v>
      </c>
      <c r="BB9">
        <f ca="1">IFERROR(IF(0=LEN(ReferenceData!$BB$9),"",ReferenceData!$BB$9),"")</f>
        <v>936.697</v>
      </c>
      <c r="BC9">
        <f ca="1">IFERROR(IF(0=LEN(ReferenceData!$BC$9),"",ReferenceData!$BC$9),"")</f>
        <v>522.803</v>
      </c>
      <c r="BD9">
        <f ca="1">IFERROR(IF(0=LEN(ReferenceData!$BD$9),"",ReferenceData!$BD$9),"")</f>
        <v>1936.3030000000001</v>
      </c>
      <c r="BE9">
        <f ca="1">IFERROR(IF(0=LEN(ReferenceData!$BE$9),"",ReferenceData!$BE$9),"")</f>
        <v>370.62400000000002</v>
      </c>
      <c r="BF9">
        <f ca="1">IFERROR(IF(0=LEN(ReferenceData!$BF$9),"",ReferenceData!$BF$9),"")</f>
        <v>576.91399999999999</v>
      </c>
      <c r="BG9">
        <f ca="1">IFERROR(IF(0=LEN(ReferenceData!$BG$9),"",ReferenceData!$BG$9),"")</f>
        <v>472.76</v>
      </c>
      <c r="BH9">
        <f ca="1">IFERROR(IF(0=LEN(ReferenceData!$BH$9),"",ReferenceData!$BH$9),"")</f>
        <v>519.34299999999996</v>
      </c>
      <c r="BI9">
        <f ca="1">IFERROR(IF(0=LEN(ReferenceData!$BI$9),"",ReferenceData!$BI$9),"")</f>
        <v>582.75800000000004</v>
      </c>
      <c r="BJ9">
        <f ca="1">IFERROR(IF(0=LEN(ReferenceData!$BJ$9),"",ReferenceData!$BJ$9),"")</f>
        <v>0</v>
      </c>
      <c r="BK9">
        <f ca="1">IFERROR(IF(0=LEN(ReferenceData!$BK$9),"",ReferenceData!$BK$9),"")</f>
        <v>0</v>
      </c>
      <c r="BL9">
        <f ca="1">IFERROR(IF(0=LEN(ReferenceData!$BL$9),"",ReferenceData!$BL$9),"")</f>
        <v>0</v>
      </c>
      <c r="BM9">
        <f ca="1">IFERROR(IF(0=LEN(ReferenceData!$BM$9),"",ReferenceData!$BM$9),"")</f>
        <v>0</v>
      </c>
    </row>
    <row r="10" spans="1:65">
      <c r="A10" t="str">
        <f>IFERROR(IF(0=LEN(ReferenceData!$A$10),"",ReferenceData!$A$10),"")</f>
        <v xml:space="preserve">    医疗保健房地产投资信托总处置</v>
      </c>
      <c r="B10" t="str">
        <f>IFERROR(IF(0=LEN(ReferenceData!$B$10),"",ReferenceData!$B$10),"")</f>
        <v>RECFDSHC Index</v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Expression</v>
      </c>
      <c r="F10">
        <f ca="1">IFERROR(IF(0=LEN(ReferenceData!$F$10),"",ReferenceData!$F$10),"")</f>
        <v>879.32600000000002</v>
      </c>
      <c r="G10">
        <f ca="1">IFERROR(IF(0=LEN(ReferenceData!$G$10),"",ReferenceData!$G$10),"")</f>
        <v>618.63599999999997</v>
      </c>
      <c r="H10">
        <f ca="1">IFERROR(IF(0=LEN(ReferenceData!$H$10),"",ReferenceData!$H$10),"")</f>
        <v>399.37599999999998</v>
      </c>
      <c r="I10">
        <f ca="1">IFERROR(IF(0=LEN(ReferenceData!$I$10),"",ReferenceData!$I$10),"")</f>
        <v>3521.2</v>
      </c>
      <c r="J10">
        <f ca="1">IFERROR(IF(0=LEN(ReferenceData!$J$10),"",ReferenceData!$J$10),"")</f>
        <v>2296.5920000000001</v>
      </c>
      <c r="K10">
        <f ca="1">IFERROR(IF(0=LEN(ReferenceData!$K$10),"",ReferenceData!$K$10),"")</f>
        <v>619.44799999999998</v>
      </c>
      <c r="L10">
        <f ca="1">IFERROR(IF(0=LEN(ReferenceData!$L$10),"",ReferenceData!$L$10),"")</f>
        <v>749.92</v>
      </c>
      <c r="M10">
        <f ca="1">IFERROR(IF(0=LEN(ReferenceData!$M$10),"",ReferenceData!$M$10),"")</f>
        <v>206.03899999999999</v>
      </c>
      <c r="N10">
        <f ca="1">IFERROR(IF(0=LEN(ReferenceData!$N$10),"",ReferenceData!$N$10),"")</f>
        <v>752.05200000000002</v>
      </c>
      <c r="O10">
        <f ca="1">IFERROR(IF(0=LEN(ReferenceData!$O$10),"",ReferenceData!$O$10),"")</f>
        <v>279.37900000000002</v>
      </c>
      <c r="P10">
        <f ca="1">IFERROR(IF(0=LEN(ReferenceData!$P$10),"",ReferenceData!$P$10),"")</f>
        <v>809.64300000000003</v>
      </c>
      <c r="Q10">
        <f ca="1">IFERROR(IF(0=LEN(ReferenceData!$Q$10),"",ReferenceData!$Q$10),"")</f>
        <v>571.80600000000004</v>
      </c>
      <c r="R10">
        <f ca="1">IFERROR(IF(0=LEN(ReferenceData!$R$10),"",ReferenceData!$R$10),"")</f>
        <v>573.81600000000003</v>
      </c>
      <c r="S10">
        <f ca="1">IFERROR(IF(0=LEN(ReferenceData!$S$10),"",ReferenceData!$S$10),"")</f>
        <v>393.267</v>
      </c>
      <c r="T10">
        <f ca="1">IFERROR(IF(0=LEN(ReferenceData!$T$10),"",ReferenceData!$T$10),"")</f>
        <v>183.74799999999999</v>
      </c>
      <c r="U10">
        <f ca="1">IFERROR(IF(0=LEN(ReferenceData!$U$10),"",ReferenceData!$U$10),"")</f>
        <v>71.132000000000005</v>
      </c>
      <c r="V10">
        <f ca="1">IFERROR(IF(0=LEN(ReferenceData!$V$10),"",ReferenceData!$V$10),"")</f>
        <v>360.45499999999998</v>
      </c>
      <c r="W10">
        <f ca="1">IFERROR(IF(0=LEN(ReferenceData!$W$10),"",ReferenceData!$W$10),"")</f>
        <v>267.49099999999999</v>
      </c>
      <c r="X10">
        <f ca="1">IFERROR(IF(0=LEN(ReferenceData!$X$10),"",ReferenceData!$X$10),"")</f>
        <v>183.49600000000001</v>
      </c>
      <c r="Y10">
        <f ca="1">IFERROR(IF(0=LEN(ReferenceData!$Y$10),"",ReferenceData!$Y$10),"")</f>
        <v>370.32299999999998</v>
      </c>
      <c r="Z10">
        <f ca="1">IFERROR(IF(0=LEN(ReferenceData!$Z$10),"",ReferenceData!$Z$10),"")</f>
        <v>562.16700000000003</v>
      </c>
      <c r="AA10">
        <f ca="1">IFERROR(IF(0=LEN(ReferenceData!$AA$10),"",ReferenceData!$AA$10),"")</f>
        <v>254.56200000000001</v>
      </c>
      <c r="AB10">
        <f ca="1">IFERROR(IF(0=LEN(ReferenceData!$AB$10),"",ReferenceData!$AB$10),"")</f>
        <v>271.69200000000001</v>
      </c>
      <c r="AC10">
        <f ca="1">IFERROR(IF(0=LEN(ReferenceData!$AC$10),"",ReferenceData!$AC$10),"")</f>
        <v>199.85499999999999</v>
      </c>
      <c r="AD10">
        <f ca="1">IFERROR(IF(0=LEN(ReferenceData!$AD$10),"",ReferenceData!$AD$10),"")</f>
        <v>163.72300000000001</v>
      </c>
      <c r="AE10">
        <f ca="1">IFERROR(IF(0=LEN(ReferenceData!$AE$10),"",ReferenceData!$AE$10),"")</f>
        <v>21.22</v>
      </c>
      <c r="AF10">
        <f ca="1">IFERROR(IF(0=LEN(ReferenceData!$AF$10),"",ReferenceData!$AF$10),"")</f>
        <v>173.93799999999999</v>
      </c>
      <c r="AG10">
        <f ca="1">IFERROR(IF(0=LEN(ReferenceData!$AG$10),"",ReferenceData!$AG$10),"")</f>
        <v>35.177999999999997</v>
      </c>
      <c r="AH10">
        <f ca="1">IFERROR(IF(0=LEN(ReferenceData!$AH$10),"",ReferenceData!$AH$10),"")</f>
        <v>162.71700000000001</v>
      </c>
      <c r="AI10">
        <f ca="1">IFERROR(IF(0=LEN(ReferenceData!$AI$10),"",ReferenceData!$AI$10),"")</f>
        <v>101.914</v>
      </c>
      <c r="AJ10">
        <f ca="1">IFERROR(IF(0=LEN(ReferenceData!$AJ$10),"",ReferenceData!$AJ$10),"")</f>
        <v>145.452</v>
      </c>
      <c r="AK10">
        <f ca="1">IFERROR(IF(0=LEN(ReferenceData!$AK$10),"",ReferenceData!$AK$10),"")</f>
        <v>53.441000000000003</v>
      </c>
      <c r="AL10">
        <f ca="1">IFERROR(IF(0=LEN(ReferenceData!$AL$10),"",ReferenceData!$AL$10),"")</f>
        <v>92.388999999999996</v>
      </c>
      <c r="AM10">
        <f ca="1">IFERROR(IF(0=LEN(ReferenceData!$AM$10),"",ReferenceData!$AM$10),"")</f>
        <v>34.593000000000004</v>
      </c>
      <c r="AN10">
        <f ca="1">IFERROR(IF(0=LEN(ReferenceData!$AN$10),"",ReferenceData!$AN$10),"")</f>
        <v>187.66</v>
      </c>
      <c r="AO10">
        <f ca="1">IFERROR(IF(0=LEN(ReferenceData!$AO$10),"",ReferenceData!$AO$10),"")</f>
        <v>247.583</v>
      </c>
      <c r="AP10">
        <f ca="1">IFERROR(IF(0=LEN(ReferenceData!$AP$10),"",ReferenceData!$AP$10),"")</f>
        <v>119.059</v>
      </c>
      <c r="AQ10">
        <f ca="1">IFERROR(IF(0=LEN(ReferenceData!$AQ$10),"",ReferenceData!$AQ$10),"")</f>
        <v>187.5</v>
      </c>
      <c r="AR10">
        <f ca="1">IFERROR(IF(0=LEN(ReferenceData!$AR$10),"",ReferenceData!$AR$10),"")</f>
        <v>784.65099999999995</v>
      </c>
      <c r="AS10">
        <f ca="1">IFERROR(IF(0=LEN(ReferenceData!$AS$10),"",ReferenceData!$AS$10),"")</f>
        <v>36.049999999999997</v>
      </c>
      <c r="AT10">
        <f ca="1">IFERROR(IF(0=LEN(ReferenceData!$AT$10),"",ReferenceData!$AT$10),"")</f>
        <v>50.825000000000003</v>
      </c>
      <c r="AU10">
        <f ca="1">IFERROR(IF(0=LEN(ReferenceData!$AU$10),"",ReferenceData!$AU$10),"")</f>
        <v>556.322</v>
      </c>
      <c r="AV10">
        <f ca="1">IFERROR(IF(0=LEN(ReferenceData!$AV$10),"",ReferenceData!$AV$10),"")</f>
        <v>375.22500000000002</v>
      </c>
      <c r="AW10">
        <f ca="1">IFERROR(IF(0=LEN(ReferenceData!$AW$10),"",ReferenceData!$AW$10),"")</f>
        <v>363.78300000000002</v>
      </c>
      <c r="AX10">
        <f ca="1">IFERROR(IF(0=LEN(ReferenceData!$AX$10),"",ReferenceData!$AX$10),"")</f>
        <v>435.62299999999999</v>
      </c>
      <c r="AY10">
        <f ca="1">IFERROR(IF(0=LEN(ReferenceData!$AY$10),"",ReferenceData!$AY$10),"")</f>
        <v>126.312</v>
      </c>
      <c r="AZ10">
        <f ca="1">IFERROR(IF(0=LEN(ReferenceData!$AZ$10),"",ReferenceData!$AZ$10),"")</f>
        <v>68.290999999999997</v>
      </c>
      <c r="BA10">
        <f ca="1">IFERROR(IF(0=LEN(ReferenceData!$BA$10),"",ReferenceData!$BA$10),"")</f>
        <v>119.702</v>
      </c>
      <c r="BB10">
        <f ca="1">IFERROR(IF(0=LEN(ReferenceData!$BB$10),"",ReferenceData!$BB$10),"")</f>
        <v>31.35</v>
      </c>
      <c r="BC10">
        <f ca="1">IFERROR(IF(0=LEN(ReferenceData!$BC$10),"",ReferenceData!$BC$10),"")</f>
        <v>74.834999999999994</v>
      </c>
      <c r="BD10">
        <f ca="1">IFERROR(IF(0=LEN(ReferenceData!$BD$10),"",ReferenceData!$BD$10),"")</f>
        <v>38.683</v>
      </c>
      <c r="BE10">
        <f ca="1">IFERROR(IF(0=LEN(ReferenceData!$BE$10),"",ReferenceData!$BE$10),"")</f>
        <v>140.643</v>
      </c>
      <c r="BF10">
        <f ca="1">IFERROR(IF(0=LEN(ReferenceData!$BF$10),"",ReferenceData!$BF$10),"")</f>
        <v>38.020000000000003</v>
      </c>
      <c r="BG10">
        <f ca="1">IFERROR(IF(0=LEN(ReferenceData!$BG$10),"",ReferenceData!$BG$10),"")</f>
        <v>4.5519999999999996</v>
      </c>
      <c r="BH10">
        <f ca="1">IFERROR(IF(0=LEN(ReferenceData!$BH$10),"",ReferenceData!$BH$10),"")</f>
        <v>14.005000000000001</v>
      </c>
      <c r="BI10">
        <f ca="1">IFERROR(IF(0=LEN(ReferenceData!$BI$10),"",ReferenceData!$BI$10),"")</f>
        <v>131.81399999999999</v>
      </c>
      <c r="BJ10">
        <f ca="1">IFERROR(IF(0=LEN(ReferenceData!$BJ$10),"",ReferenceData!$BJ$10),"")</f>
        <v>77.8</v>
      </c>
      <c r="BK10">
        <f ca="1">IFERROR(IF(0=LEN(ReferenceData!$BK$10),"",ReferenceData!$BK$10),"")</f>
        <v>0</v>
      </c>
      <c r="BL10">
        <f ca="1">IFERROR(IF(0=LEN(ReferenceData!$BL$10),"",ReferenceData!$BL$10),"")</f>
        <v>0</v>
      </c>
      <c r="BM10">
        <f ca="1">IFERROR(IF(0=LEN(ReferenceData!$BM$10),"",ReferenceData!$BM$10),"")</f>
        <v>0</v>
      </c>
    </row>
    <row r="11" spans="1:65">
      <c r="A11" t="str">
        <f>IFERROR(IF(0=LEN(ReferenceData!$A$11),"",ReferenceData!$A$11),"")</f>
        <v xml:space="preserve">    医疗保健房地产投资信托净收购</v>
      </c>
      <c r="B11" t="str">
        <f>IFERROR(IF(0=LEN(ReferenceData!$B$11),"",ReferenceData!$B$11),"")</f>
        <v>RECFNAHC Index</v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Expression</v>
      </c>
      <c r="F11">
        <f ca="1">IFERROR(IF(0=LEN(ReferenceData!$F$11),"",ReferenceData!$F$11),"")</f>
        <v>359.40899999999999</v>
      </c>
      <c r="G11">
        <f ca="1">IFERROR(IF(0=LEN(ReferenceData!$G$11),"",ReferenceData!$G$11),"")</f>
        <v>1758.008</v>
      </c>
      <c r="H11">
        <f ca="1">IFERROR(IF(0=LEN(ReferenceData!$H$11),"",ReferenceData!$H$11),"")</f>
        <v>4301.8059999999996</v>
      </c>
      <c r="I11">
        <f ca="1">IFERROR(IF(0=LEN(ReferenceData!$I$11),"",ReferenceData!$I$11),"")</f>
        <v>-2428.2840000000001</v>
      </c>
      <c r="J11">
        <f ca="1">IFERROR(IF(0=LEN(ReferenceData!$J$11),"",ReferenceData!$J$11),"")</f>
        <v>1899.96</v>
      </c>
      <c r="K11">
        <f ca="1">IFERROR(IF(0=LEN(ReferenceData!$K$11),"",ReferenceData!$K$11),"")</f>
        <v>3357.0720000000001</v>
      </c>
      <c r="L11">
        <f ca="1">IFERROR(IF(0=LEN(ReferenceData!$L$11),"",ReferenceData!$L$11),"")</f>
        <v>1341.0820000000001</v>
      </c>
      <c r="M11">
        <f ca="1">IFERROR(IF(0=LEN(ReferenceData!$M$11),"",ReferenceData!$M$11),"")</f>
        <v>1150.21</v>
      </c>
      <c r="N11">
        <f ca="1">IFERROR(IF(0=LEN(ReferenceData!$N$11),"",ReferenceData!$N$11),"")</f>
        <v>1561.32</v>
      </c>
      <c r="O11">
        <f ca="1">IFERROR(IF(0=LEN(ReferenceData!$O$11),"",ReferenceData!$O$11),"")</f>
        <v>4377.8789999999999</v>
      </c>
      <c r="P11">
        <f ca="1">IFERROR(IF(0=LEN(ReferenceData!$P$11),"",ReferenceData!$P$11),"")</f>
        <v>7637.134</v>
      </c>
      <c r="Q11">
        <f ca="1">IFERROR(IF(0=LEN(ReferenceData!$Q$11),"",ReferenceData!$Q$11),"")</f>
        <v>6300.1450000000004</v>
      </c>
      <c r="R11">
        <f ca="1">IFERROR(IF(0=LEN(ReferenceData!$R$11),"",ReferenceData!$R$11),"")</f>
        <v>2491.3580000000002</v>
      </c>
      <c r="S11">
        <f ca="1">IFERROR(IF(0=LEN(ReferenceData!$S$11),"",ReferenceData!$S$11),"")</f>
        <v>2856.1309999999999</v>
      </c>
      <c r="T11">
        <f ca="1">IFERROR(IF(0=LEN(ReferenceData!$T$11),"",ReferenceData!$T$11),"")</f>
        <v>2487.3409999999999</v>
      </c>
      <c r="U11">
        <f ca="1">IFERROR(IF(0=LEN(ReferenceData!$U$11),"",ReferenceData!$U$11),"")</f>
        <v>1179.4380000000001</v>
      </c>
      <c r="V11">
        <f ca="1">IFERROR(IF(0=LEN(ReferenceData!$V$11),"",ReferenceData!$V$11),"")</f>
        <v>1924.3969999999999</v>
      </c>
      <c r="W11">
        <f ca="1">IFERROR(IF(0=LEN(ReferenceData!$W$11),"",ReferenceData!$W$11),"")</f>
        <v>2764.7280000000001</v>
      </c>
      <c r="X11">
        <f ca="1">IFERROR(IF(0=LEN(ReferenceData!$X$11),"",ReferenceData!$X$11),"")</f>
        <v>1809.4580000000001</v>
      </c>
      <c r="Y11">
        <f ca="1">IFERROR(IF(0=LEN(ReferenceData!$Y$11),"",ReferenceData!$Y$11),"")</f>
        <v>2501.1469999999999</v>
      </c>
      <c r="Z11">
        <f ca="1">IFERROR(IF(0=LEN(ReferenceData!$Z$11),"",ReferenceData!$Z$11),"")</f>
        <v>4505.5309999999999</v>
      </c>
      <c r="AA11">
        <f ca="1">IFERROR(IF(0=LEN(ReferenceData!$AA$11),"",ReferenceData!$AA$11),"")</f>
        <v>2113.7060000000001</v>
      </c>
      <c r="AB11">
        <f ca="1">IFERROR(IF(0=LEN(ReferenceData!$AB$11),"",ReferenceData!$AB$11),"")</f>
        <v>1676.0940000000001</v>
      </c>
      <c r="AC11">
        <f ca="1">IFERROR(IF(0=LEN(ReferenceData!$AC$11),"",ReferenceData!$AC$11),"")</f>
        <v>1019.27</v>
      </c>
      <c r="AD11">
        <f ca="1">IFERROR(IF(0=LEN(ReferenceData!$AD$11),"",ReferenceData!$AD$11),"")</f>
        <v>5537.009</v>
      </c>
      <c r="AE11">
        <f ca="1">IFERROR(IF(0=LEN(ReferenceData!$AE$11),"",ReferenceData!$AE$11),"")</f>
        <v>8663.4699999999993</v>
      </c>
      <c r="AF11">
        <f ca="1">IFERROR(IF(0=LEN(ReferenceData!$AF$11),"",ReferenceData!$AF$11),"")</f>
        <v>12520.147999999999</v>
      </c>
      <c r="AG11">
        <f ca="1">IFERROR(IF(0=LEN(ReferenceData!$AG$11),"",ReferenceData!$AG$11),"")</f>
        <v>2309.87</v>
      </c>
      <c r="AH11">
        <f ca="1">IFERROR(IF(0=LEN(ReferenceData!$AH$11),"",ReferenceData!$AH$11),"")</f>
        <v>2489.0349999999999</v>
      </c>
      <c r="AI11">
        <f ca="1">IFERROR(IF(0=LEN(ReferenceData!$AI$11),"",ReferenceData!$AI$11),"")</f>
        <v>1238.741</v>
      </c>
      <c r="AJ11">
        <f ca="1">IFERROR(IF(0=LEN(ReferenceData!$AJ$11),"",ReferenceData!$AJ$11),"")</f>
        <v>1021.092</v>
      </c>
      <c r="AK11">
        <f ca="1">IFERROR(IF(0=LEN(ReferenceData!$AK$11),"",ReferenceData!$AK$11),"")</f>
        <v>961.83699999999999</v>
      </c>
      <c r="AL11">
        <f ca="1">IFERROR(IF(0=LEN(ReferenceData!$AL$11),"",ReferenceData!$AL$11),"")</f>
        <v>557.14200000000005</v>
      </c>
      <c r="AM11">
        <f ca="1">IFERROR(IF(0=LEN(ReferenceData!$AM$11),"",ReferenceData!$AM$11),"")</f>
        <v>319.37200000000001</v>
      </c>
      <c r="AN11">
        <f ca="1">IFERROR(IF(0=LEN(ReferenceData!$AN$11),"",ReferenceData!$AN$11),"")</f>
        <v>-93.188999999999993</v>
      </c>
      <c r="AO11">
        <f ca="1">IFERROR(IF(0=LEN(ReferenceData!$AO$11),"",ReferenceData!$AO$11),"")</f>
        <v>-213.233</v>
      </c>
      <c r="AP11">
        <f ca="1">IFERROR(IF(0=LEN(ReferenceData!$AP$11),"",ReferenceData!$AP$11),"")</f>
        <v>153.90700000000001</v>
      </c>
      <c r="AQ11">
        <f ca="1">IFERROR(IF(0=LEN(ReferenceData!$AQ$11),"",ReferenceData!$AQ$11),"")</f>
        <v>435.733</v>
      </c>
      <c r="AR11">
        <f ca="1">IFERROR(IF(0=LEN(ReferenceData!$AR$11),"",ReferenceData!$AR$11),"")</f>
        <v>-107.75700000000001</v>
      </c>
      <c r="AS11">
        <f ca="1">IFERROR(IF(0=LEN(ReferenceData!$AS$11),"",ReferenceData!$AS$11),"")</f>
        <v>376.13400000000001</v>
      </c>
      <c r="AT11">
        <f ca="1">IFERROR(IF(0=LEN(ReferenceData!$AT$11),"",ReferenceData!$AT$11),"")</f>
        <v>215.14400000000001</v>
      </c>
      <c r="AU11">
        <f ca="1">IFERROR(IF(0=LEN(ReferenceData!$AU$11),"",ReferenceData!$AU$11),"")</f>
        <v>-121.113</v>
      </c>
      <c r="AV11">
        <f ca="1">IFERROR(IF(0=LEN(ReferenceData!$AV$11),"",ReferenceData!$AV$11),"")</f>
        <v>2176.7890000000002</v>
      </c>
      <c r="AW11">
        <f ca="1">IFERROR(IF(0=LEN(ReferenceData!$AW$11),"",ReferenceData!$AW$11),"")</f>
        <v>251.607</v>
      </c>
      <c r="AX11">
        <f ca="1">IFERROR(IF(0=LEN(ReferenceData!$AX$11),"",ReferenceData!$AX$11),"")</f>
        <v>5729.7690000000002</v>
      </c>
      <c r="AY11">
        <f ca="1">IFERROR(IF(0=LEN(ReferenceData!$AY$11),"",ReferenceData!$AY$11),"")</f>
        <v>415.18200000000002</v>
      </c>
      <c r="AZ11">
        <f ca="1">IFERROR(IF(0=LEN(ReferenceData!$AZ$11),"",ReferenceData!$AZ$11),"")</f>
        <v>693.75300000000004</v>
      </c>
      <c r="BA11">
        <f ca="1">IFERROR(IF(0=LEN(ReferenceData!$BA$11),"",ReferenceData!$BA$11),"")</f>
        <v>501.47899999999998</v>
      </c>
      <c r="BB11">
        <f ca="1">IFERROR(IF(0=LEN(ReferenceData!$BB$11),"",ReferenceData!$BB$11),"")</f>
        <v>905.34699999999998</v>
      </c>
      <c r="BC11">
        <f ca="1">IFERROR(IF(0=LEN(ReferenceData!$BC$11),"",ReferenceData!$BC$11),"")</f>
        <v>447.96800000000002</v>
      </c>
      <c r="BD11">
        <f ca="1">IFERROR(IF(0=LEN(ReferenceData!$BD$11),"",ReferenceData!$BD$11),"")</f>
        <v>1897.62</v>
      </c>
      <c r="BE11">
        <f ca="1">IFERROR(IF(0=LEN(ReferenceData!$BE$11),"",ReferenceData!$BE$11),"")</f>
        <v>229.98099999999999</v>
      </c>
      <c r="BF11">
        <f ca="1">IFERROR(IF(0=LEN(ReferenceData!$BF$11),"",ReferenceData!$BF$11),"")</f>
        <v>538.89400000000001</v>
      </c>
      <c r="BG11">
        <f ca="1">IFERROR(IF(0=LEN(ReferenceData!$BG$11),"",ReferenceData!$BG$11),"")</f>
        <v>468.20800000000003</v>
      </c>
      <c r="BH11">
        <f ca="1">IFERROR(IF(0=LEN(ReferenceData!$BH$11),"",ReferenceData!$BH$11),"")</f>
        <v>505.33800000000002</v>
      </c>
      <c r="BI11">
        <f ca="1">IFERROR(IF(0=LEN(ReferenceData!$BI$11),"",ReferenceData!$BI$11),"")</f>
        <v>450.94400000000002</v>
      </c>
      <c r="BJ11">
        <f ca="1">IFERROR(IF(0=LEN(ReferenceData!$BJ$11),"",ReferenceData!$BJ$11),"")</f>
        <v>-77.8</v>
      </c>
      <c r="BK11">
        <f ca="1">IFERROR(IF(0=LEN(ReferenceData!$BK$11),"",ReferenceData!$BK$11),"")</f>
        <v>0</v>
      </c>
      <c r="BL11">
        <f ca="1">IFERROR(IF(0=LEN(ReferenceData!$BL$11),"",ReferenceData!$BL$11),"")</f>
        <v>0</v>
      </c>
      <c r="BM11">
        <f ca="1">IFERROR(IF(0=LEN(ReferenceData!$BM$11),"",ReferenceData!$BM$11),"")</f>
        <v>0</v>
      </c>
    </row>
    <row r="12" spans="1:65">
      <c r="A12" t="str">
        <f>IFERROR(IF(0=LEN(ReferenceData!$A$12),"",ReferenceData!$A$12),"")</f>
        <v xml:space="preserve">    医疗保健房地产投资信托总开发渠道</v>
      </c>
      <c r="B12" t="str">
        <f>IFERROR(IF(0=LEN(ReferenceData!$B$12),"",ReferenceData!$B$12),"")</f>
        <v>RECFDVHC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动态</v>
      </c>
      <c r="F12">
        <f ca="1">IFERROR(IF(0=LEN(ReferenceData!$F$12),"",ReferenceData!$F$12),"")</f>
        <v>2284.0830000000001</v>
      </c>
      <c r="G12">
        <f ca="1">IFERROR(IF(0=LEN(ReferenceData!$G$12),"",ReferenceData!$G$12),"")</f>
        <v>2194.5309999999999</v>
      </c>
      <c r="H12">
        <f ca="1">IFERROR(IF(0=LEN(ReferenceData!$H$12),"",ReferenceData!$H$12),"")</f>
        <v>2283.5929999999998</v>
      </c>
      <c r="I12">
        <f ca="1">IFERROR(IF(0=LEN(ReferenceData!$I$12),"",ReferenceData!$I$12),"")</f>
        <v>2413.663</v>
      </c>
      <c r="J12">
        <f ca="1">IFERROR(IF(0=LEN(ReferenceData!$J$12),"",ReferenceData!$J$12),"")</f>
        <v>2508.674</v>
      </c>
      <c r="K12">
        <f ca="1">IFERROR(IF(0=LEN(ReferenceData!$K$12),"",ReferenceData!$K$12),"")</f>
        <v>2225.6320000000001</v>
      </c>
      <c r="L12">
        <f ca="1">IFERROR(IF(0=LEN(ReferenceData!$L$12),"",ReferenceData!$L$12),"")</f>
        <v>2344.8919999999998</v>
      </c>
      <c r="M12">
        <f ca="1">IFERROR(IF(0=LEN(ReferenceData!$M$12),"",ReferenceData!$M$12),"")</f>
        <v>2329.424</v>
      </c>
      <c r="N12">
        <f ca="1">IFERROR(IF(0=LEN(ReferenceData!$N$12),"",ReferenceData!$N$12),"")</f>
        <v>2083.6390000000001</v>
      </c>
      <c r="O12">
        <f ca="1">IFERROR(IF(0=LEN(ReferenceData!$O$12),"",ReferenceData!$O$12),"")</f>
        <v>1837.806</v>
      </c>
      <c r="P12">
        <f ca="1">IFERROR(IF(0=LEN(ReferenceData!$P$12),"",ReferenceData!$P$12),"")</f>
        <v>1580.5340000000001</v>
      </c>
      <c r="Q12">
        <f ca="1">IFERROR(IF(0=LEN(ReferenceData!$Q$12),"",ReferenceData!$Q$12),"")</f>
        <v>1266.2860000000001</v>
      </c>
      <c r="R12">
        <f ca="1">IFERROR(IF(0=LEN(ReferenceData!$R$12),"",ReferenceData!$R$12),"")</f>
        <v>879.05899999999997</v>
      </c>
      <c r="S12">
        <f ca="1">IFERROR(IF(0=LEN(ReferenceData!$S$12),"",ReferenceData!$S$12),"")</f>
        <v>722.94</v>
      </c>
      <c r="T12">
        <f ca="1">IFERROR(IF(0=LEN(ReferenceData!$T$12),"",ReferenceData!$T$12),"")</f>
        <v>536.46699999999998</v>
      </c>
      <c r="U12">
        <f ca="1">IFERROR(IF(0=LEN(ReferenceData!$U$12),"",ReferenceData!$U$12),"")</f>
        <v>627.23099999999999</v>
      </c>
      <c r="V12">
        <f ca="1">IFERROR(IF(0=LEN(ReferenceData!$V$12),"",ReferenceData!$V$12),"")</f>
        <v>648.00400000000002</v>
      </c>
      <c r="W12">
        <f ca="1">IFERROR(IF(0=LEN(ReferenceData!$W$12),"",ReferenceData!$W$12),"")</f>
        <v>727.33699999999999</v>
      </c>
      <c r="X12">
        <f ca="1">IFERROR(IF(0=LEN(ReferenceData!$X$12),"",ReferenceData!$X$12),"")</f>
        <v>696.85400000000004</v>
      </c>
      <c r="Y12">
        <f ca="1">IFERROR(IF(0=LEN(ReferenceData!$Y$12),"",ReferenceData!$Y$12),"")</f>
        <v>576.29100000000005</v>
      </c>
      <c r="Z12">
        <f ca="1">IFERROR(IF(0=LEN(ReferenceData!$Z$12),"",ReferenceData!$Z$12),"")</f>
        <v>507.75900000000001</v>
      </c>
      <c r="AA12">
        <f ca="1">IFERROR(IF(0=LEN(ReferenceData!$AA$12),"",ReferenceData!$AA$12),"")</f>
        <v>562.86199999999997</v>
      </c>
      <c r="AB12">
        <f ca="1">IFERROR(IF(0=LEN(ReferenceData!$AB$12),"",ReferenceData!$AB$12),"")</f>
        <v>579.84199999999998</v>
      </c>
      <c r="AC12">
        <f ca="1">IFERROR(IF(0=LEN(ReferenceData!$AC$12),"",ReferenceData!$AC$12),"")</f>
        <v>525.58699999999999</v>
      </c>
      <c r="AD12">
        <f ca="1">IFERROR(IF(0=LEN(ReferenceData!$AD$12),"",ReferenceData!$AD$12),"")</f>
        <v>665.96799999999996</v>
      </c>
      <c r="AE12">
        <f ca="1">IFERROR(IF(0=LEN(ReferenceData!$AE$12),"",ReferenceData!$AE$12),"")</f>
        <v>815.99099999999999</v>
      </c>
      <c r="AF12">
        <f ca="1">IFERROR(IF(0=LEN(ReferenceData!$AF$12),"",ReferenceData!$AF$12),"")</f>
        <v>600.92200000000003</v>
      </c>
      <c r="AG12">
        <f ca="1">IFERROR(IF(0=LEN(ReferenceData!$AG$12),"",ReferenceData!$AG$12),"")</f>
        <v>794.13900000000001</v>
      </c>
      <c r="AH12">
        <f ca="1">IFERROR(IF(0=LEN(ReferenceData!$AH$12),"",ReferenceData!$AH$12),"")</f>
        <v>827.01400000000001</v>
      </c>
      <c r="AI12">
        <f ca="1">IFERROR(IF(0=LEN(ReferenceData!$AI$12),"",ReferenceData!$AI$12),"")</f>
        <v>796.04</v>
      </c>
      <c r="AJ12">
        <f ca="1">IFERROR(IF(0=LEN(ReferenceData!$AJ$12),"",ReferenceData!$AJ$12),"")</f>
        <v>828.40499999999997</v>
      </c>
      <c r="AK12">
        <f ca="1">IFERROR(IF(0=LEN(ReferenceData!$AK$12),"",ReferenceData!$AK$12),"")</f>
        <v>772.72500000000002</v>
      </c>
      <c r="AL12">
        <f ca="1">IFERROR(IF(0=LEN(ReferenceData!$AL$12),"",ReferenceData!$AL$12),"")</f>
        <v>1152.1420000000001</v>
      </c>
      <c r="AM12">
        <f ca="1">IFERROR(IF(0=LEN(ReferenceData!$AM$12),"",ReferenceData!$AM$12),"")</f>
        <v>1531.9380000000001</v>
      </c>
      <c r="AN12">
        <f ca="1">IFERROR(IF(0=LEN(ReferenceData!$AN$12),"",ReferenceData!$AN$12),"")</f>
        <v>1696.5730000000001</v>
      </c>
      <c r="AO12">
        <f ca="1">IFERROR(IF(0=LEN(ReferenceData!$AO$12),"",ReferenceData!$AO$12),"")</f>
        <v>1825.1990000000001</v>
      </c>
      <c r="AP12">
        <f ca="1">IFERROR(IF(0=LEN(ReferenceData!$AP$12),"",ReferenceData!$AP$12),"")</f>
        <v>1874.527</v>
      </c>
      <c r="AQ12">
        <f ca="1">IFERROR(IF(0=LEN(ReferenceData!$AQ$12),"",ReferenceData!$AQ$12),"")</f>
        <v>2163.991</v>
      </c>
      <c r="AR12">
        <f ca="1">IFERROR(IF(0=LEN(ReferenceData!$AR$12),"",ReferenceData!$AR$12),"")</f>
        <v>1844.5139999999999</v>
      </c>
      <c r="AS12">
        <f ca="1">IFERROR(IF(0=LEN(ReferenceData!$AS$12),"",ReferenceData!$AS$12),"")</f>
        <v>1812.3789999999999</v>
      </c>
      <c r="AT12">
        <f ca="1">IFERROR(IF(0=LEN(ReferenceData!$AT$12),"",ReferenceData!$AT$12),"")</f>
        <v>1811.2049999999999</v>
      </c>
      <c r="AU12">
        <f ca="1">IFERROR(IF(0=LEN(ReferenceData!$AU$12),"",ReferenceData!$AU$12),"")</f>
        <v>1477.847</v>
      </c>
      <c r="AV12">
        <f ca="1">IFERROR(IF(0=LEN(ReferenceData!$AV$12),"",ReferenceData!$AV$12),"")</f>
        <v>821.73699999999997</v>
      </c>
      <c r="AW12">
        <f ca="1">IFERROR(IF(0=LEN(ReferenceData!$AW$12),"",ReferenceData!$AW$12),"")</f>
        <v>768.86500000000001</v>
      </c>
      <c r="AX12">
        <f ca="1">IFERROR(IF(0=LEN(ReferenceData!$AX$12),"",ReferenceData!$AX$12),"")</f>
        <v>749.86599999999999</v>
      </c>
      <c r="AY12">
        <f ca="1">IFERROR(IF(0=LEN(ReferenceData!$AY$12),"",ReferenceData!$AY$12),"")</f>
        <v>636.58900000000006</v>
      </c>
      <c r="AZ12">
        <f ca="1">IFERROR(IF(0=LEN(ReferenceData!$AZ$12),"",ReferenceData!$AZ$12),"")</f>
        <v>626.46299999999997</v>
      </c>
      <c r="BA12">
        <f ca="1">IFERROR(IF(0=LEN(ReferenceData!$BA$12),"",ReferenceData!$BA$12),"")</f>
        <v>463.779</v>
      </c>
      <c r="BB12">
        <f ca="1">IFERROR(IF(0=LEN(ReferenceData!$BB$12),"",ReferenceData!$BB$12),"")</f>
        <v>237.21</v>
      </c>
      <c r="BC12">
        <f ca="1">IFERROR(IF(0=LEN(ReferenceData!$BC$12),"",ReferenceData!$BC$12),"")</f>
        <v>248.5</v>
      </c>
      <c r="BD12">
        <f ca="1">IFERROR(IF(0=LEN(ReferenceData!$BD$12),"",ReferenceData!$BD$12),"")</f>
        <v>57.905000000000001</v>
      </c>
      <c r="BE12">
        <f ca="1">IFERROR(IF(0=LEN(ReferenceData!$BE$12),"",ReferenceData!$BE$12),"")</f>
        <v>68.81</v>
      </c>
      <c r="BF12">
        <f ca="1">IFERROR(IF(0=LEN(ReferenceData!$BF$12),"",ReferenceData!$BF$12),"")</f>
        <v>70.900000000000006</v>
      </c>
      <c r="BG12">
        <f ca="1">IFERROR(IF(0=LEN(ReferenceData!$BG$12),"",ReferenceData!$BG$12),"")</f>
        <v>102.72</v>
      </c>
      <c r="BH12">
        <f ca="1">IFERROR(IF(0=LEN(ReferenceData!$BH$12),"",ReferenceData!$BH$12),"")</f>
        <v>101.145</v>
      </c>
      <c r="BI12">
        <f ca="1">IFERROR(IF(0=LEN(ReferenceData!$BI$12),"",ReferenceData!$BI$12),"")</f>
        <v>54.145000000000003</v>
      </c>
      <c r="BJ12">
        <f ca="1">IFERROR(IF(0=LEN(ReferenceData!$BJ$12),"",ReferenceData!$BJ$12),"")</f>
        <v>43.311999999999998</v>
      </c>
      <c r="BK12">
        <f ca="1">IFERROR(IF(0=LEN(ReferenceData!$BK$12),"",ReferenceData!$BK$12),"")</f>
        <v>0</v>
      </c>
      <c r="BL12">
        <f ca="1">IFERROR(IF(0=LEN(ReferenceData!$BL$12),"",ReferenceData!$BL$12),"")</f>
        <v>0</v>
      </c>
      <c r="BM12">
        <f ca="1">IFERROR(IF(0=LEN(ReferenceData!$BM$12),"",ReferenceData!$BM$12),"")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66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ReferenceData!$C$57</f>
        <v>2017 Q4</v>
      </c>
      <c r="G2" s="1" t="str">
        <f>ReferenceData!$D$57</f>
        <v>2017 Q3</v>
      </c>
      <c r="H2" s="1" t="str">
        <f>ReferenceData!$E$57</f>
        <v>2017 Q2</v>
      </c>
      <c r="I2" s="1" t="str">
        <f>ReferenceData!$F$57</f>
        <v>2017 Q1</v>
      </c>
      <c r="J2" s="1" t="str">
        <f>ReferenceData!$G$57</f>
        <v>2016 Q4</v>
      </c>
      <c r="K2" s="1" t="str">
        <f>ReferenceData!$H$57</f>
        <v>2016 Q3</v>
      </c>
      <c r="L2" s="1" t="str">
        <f>ReferenceData!$I$57</f>
        <v>2016 Q2</v>
      </c>
      <c r="M2" s="1" t="str">
        <f>ReferenceData!$J$57</f>
        <v>2016 Q1</v>
      </c>
      <c r="N2" s="1" t="str">
        <f>ReferenceData!$K$57</f>
        <v>2015 Q4</v>
      </c>
      <c r="O2" s="1" t="str">
        <f>ReferenceData!$L$57</f>
        <v>2015 Q3</v>
      </c>
      <c r="P2" s="1" t="str">
        <f>ReferenceData!$M$57</f>
        <v>2015 Q2</v>
      </c>
      <c r="Q2" s="1" t="str">
        <f>ReferenceData!$N$57</f>
        <v>2015 Q1</v>
      </c>
      <c r="R2" s="1" t="str">
        <f>ReferenceData!$O$57</f>
        <v>2014 Q4</v>
      </c>
      <c r="S2" s="1" t="str">
        <f>ReferenceData!$P$57</f>
        <v>2014 Q3</v>
      </c>
      <c r="T2" s="1" t="str">
        <f>ReferenceData!$Q$57</f>
        <v>2014 Q2</v>
      </c>
      <c r="U2" s="1" t="str">
        <f>ReferenceData!$R$57</f>
        <v>2014 Q1</v>
      </c>
      <c r="V2" s="1" t="str">
        <f>ReferenceData!$S$57</f>
        <v>2013 Q4</v>
      </c>
      <c r="W2" s="1" t="str">
        <f>ReferenceData!$T$57</f>
        <v>2013 Q3</v>
      </c>
      <c r="X2" s="1" t="str">
        <f>ReferenceData!$U$57</f>
        <v>2013 Q2</v>
      </c>
      <c r="Y2" s="1" t="str">
        <f>ReferenceData!$V$57</f>
        <v>2013 Q1</v>
      </c>
      <c r="Z2" s="1" t="str">
        <f>ReferenceData!$W$57</f>
        <v>2012 Q4</v>
      </c>
      <c r="AA2" s="1" t="str">
        <f>ReferenceData!$X$57</f>
        <v>2012 Q3</v>
      </c>
      <c r="AB2" s="1" t="str">
        <f>ReferenceData!$Y$57</f>
        <v>2012 Q2</v>
      </c>
      <c r="AC2" s="1" t="str">
        <f>ReferenceData!$Z$57</f>
        <v>2012 Q1</v>
      </c>
      <c r="AD2" s="1" t="str">
        <f>ReferenceData!$AA$57</f>
        <v>2011 Q4</v>
      </c>
      <c r="AE2" s="1" t="str">
        <f>ReferenceData!$AB$57</f>
        <v>2011 Q3</v>
      </c>
      <c r="AF2" s="1" t="str">
        <f>ReferenceData!$AC$57</f>
        <v>2011 Q2</v>
      </c>
      <c r="AG2" s="1" t="str">
        <f>ReferenceData!$AD$57</f>
        <v>2011 Q1</v>
      </c>
      <c r="AH2" s="1" t="str">
        <f>ReferenceData!$AE$57</f>
        <v>2010 Q4</v>
      </c>
      <c r="AI2" s="1" t="str">
        <f>ReferenceData!$AF$57</f>
        <v>2010 Q3</v>
      </c>
      <c r="AJ2" s="1" t="str">
        <f>ReferenceData!$AG$57</f>
        <v>2010 Q2</v>
      </c>
      <c r="AK2" s="1" t="str">
        <f>ReferenceData!$AH$57</f>
        <v>2010 Q1</v>
      </c>
      <c r="AL2" s="1" t="str">
        <f>ReferenceData!$AI$57</f>
        <v>2009 Q4</v>
      </c>
      <c r="AM2" s="1" t="str">
        <f>ReferenceData!$AJ$57</f>
        <v>2009 Q3</v>
      </c>
      <c r="AN2" s="1" t="str">
        <f>ReferenceData!$AK$57</f>
        <v>2009 Q2</v>
      </c>
      <c r="AO2" s="1" t="str">
        <f>ReferenceData!$AL$57</f>
        <v>2009 Q1</v>
      </c>
      <c r="AP2" s="1" t="str">
        <f>ReferenceData!$AM$57</f>
        <v>2008 Q4</v>
      </c>
      <c r="AQ2" s="1" t="str">
        <f>ReferenceData!$AN$57</f>
        <v>2008 Q3</v>
      </c>
      <c r="AR2" s="1" t="str">
        <f>ReferenceData!$AO$57</f>
        <v>2008 Q2</v>
      </c>
      <c r="AS2" s="1" t="str">
        <f>ReferenceData!$AP$57</f>
        <v>2008 Q1</v>
      </c>
      <c r="AT2" s="1" t="str">
        <f>ReferenceData!$AQ$57</f>
        <v>2007 Q4</v>
      </c>
      <c r="AU2" s="1" t="str">
        <f>ReferenceData!$AR$57</f>
        <v>2007 Q3</v>
      </c>
      <c r="AV2" s="1" t="str">
        <f>ReferenceData!$AS$57</f>
        <v>2007 Q2</v>
      </c>
      <c r="AW2" s="1" t="str">
        <f>ReferenceData!$AT$57</f>
        <v>2007 Q1</v>
      </c>
      <c r="AX2" s="1" t="str">
        <f>ReferenceData!$AU$57</f>
        <v>2006 Q4</v>
      </c>
      <c r="AY2" s="1" t="str">
        <f>ReferenceData!$AV$57</f>
        <v>2006 Q3</v>
      </c>
      <c r="AZ2" s="1" t="str">
        <f>ReferenceData!$AW$57</f>
        <v>2006 Q2</v>
      </c>
      <c r="BA2" s="1" t="str">
        <f>ReferenceData!$AX$57</f>
        <v>2006 Q1</v>
      </c>
      <c r="BB2" s="1" t="str">
        <f>ReferenceData!$AY$57</f>
        <v>2005 Q4</v>
      </c>
      <c r="BC2" s="1" t="str">
        <f>ReferenceData!$AZ$57</f>
        <v>2005 Q3</v>
      </c>
      <c r="BD2" s="1" t="str">
        <f>ReferenceData!$BA$57</f>
        <v>2005 Q2</v>
      </c>
      <c r="BE2" s="1" t="str">
        <f>ReferenceData!$BB$57</f>
        <v>2005 Q1</v>
      </c>
      <c r="BF2" s="1" t="str">
        <f>ReferenceData!$BC$57</f>
        <v>2004 Q4</v>
      </c>
      <c r="BG2" s="1" t="str">
        <f>ReferenceData!$BD$57</f>
        <v>2004 Q3</v>
      </c>
      <c r="BH2" s="1" t="str">
        <f>ReferenceData!$BE$57</f>
        <v>2004 Q2</v>
      </c>
      <c r="BI2" s="1" t="str">
        <f>ReferenceData!$BF$57</f>
        <v>2004 Q1</v>
      </c>
      <c r="BJ2" s="1" t="str">
        <f>ReferenceData!$BG$57</f>
        <v>2003 Q4</v>
      </c>
      <c r="BK2" s="1" t="str">
        <f>ReferenceData!$BH$57</f>
        <v>2003 Q3</v>
      </c>
      <c r="BL2" s="1" t="str">
        <f>ReferenceData!$BI$57</f>
        <v>2003 Q2</v>
      </c>
      <c r="BM2" s="1" t="str">
        <f>ReferenceData!$BJ$57</f>
        <v>2003 Q1</v>
      </c>
      <c r="BN2" t="str">
        <f>$C$57</f>
        <v>2017 Q4</v>
      </c>
      <c r="BO2" t="str">
        <f>$D$57</f>
        <v>2017 Q3</v>
      </c>
      <c r="BP2" t="str">
        <f>$E$57</f>
        <v>2017 Q2</v>
      </c>
      <c r="BQ2" t="str">
        <f>$F$57</f>
        <v>2017 Q1</v>
      </c>
      <c r="BR2" t="str">
        <f>$G$57</f>
        <v>2016 Q4</v>
      </c>
      <c r="BS2" t="str">
        <f>$H$57</f>
        <v>2016 Q3</v>
      </c>
      <c r="BT2" t="str">
        <f>$I$57</f>
        <v>2016 Q2</v>
      </c>
      <c r="BU2" t="str">
        <f>$J$57</f>
        <v>2016 Q1</v>
      </c>
      <c r="BV2" t="str">
        <f>$K$57</f>
        <v>2015 Q4</v>
      </c>
      <c r="BW2" t="str">
        <f>$L$57</f>
        <v>2015 Q3</v>
      </c>
      <c r="BX2" t="str">
        <f>$M$57</f>
        <v>2015 Q2</v>
      </c>
      <c r="BY2" t="str">
        <f>$N$57</f>
        <v>2015 Q1</v>
      </c>
      <c r="BZ2" t="str">
        <f>$O$57</f>
        <v>2014 Q4</v>
      </c>
      <c r="CA2" t="str">
        <f>$P$57</f>
        <v>2014 Q3</v>
      </c>
      <c r="CB2" t="str">
        <f>$Q$57</f>
        <v>2014 Q2</v>
      </c>
      <c r="CC2" t="str">
        <f>$R$57</f>
        <v>2014 Q1</v>
      </c>
      <c r="CD2" t="str">
        <f>$S$57</f>
        <v>2013 Q4</v>
      </c>
      <c r="CE2" t="str">
        <f>$T$57</f>
        <v>2013 Q3</v>
      </c>
      <c r="CF2" t="str">
        <f>$U$57</f>
        <v>2013 Q2</v>
      </c>
      <c r="CG2" t="str">
        <f>$V$57</f>
        <v>2013 Q1</v>
      </c>
      <c r="CH2" t="str">
        <f>$W$57</f>
        <v>2012 Q4</v>
      </c>
      <c r="CI2" t="str">
        <f>$X$57</f>
        <v>2012 Q3</v>
      </c>
      <c r="CJ2" t="str">
        <f>$Y$57</f>
        <v>2012 Q2</v>
      </c>
      <c r="CK2" t="str">
        <f>$Z$57</f>
        <v>2012 Q1</v>
      </c>
      <c r="CL2" t="str">
        <f>$AA$57</f>
        <v>2011 Q4</v>
      </c>
      <c r="CM2" t="str">
        <f>$AB$57</f>
        <v>2011 Q3</v>
      </c>
      <c r="CN2" t="str">
        <f>$AC$57</f>
        <v>2011 Q2</v>
      </c>
      <c r="CO2" t="str">
        <f>$AD$57</f>
        <v>2011 Q1</v>
      </c>
      <c r="CP2" t="str">
        <f>$AE$57</f>
        <v>2010 Q4</v>
      </c>
      <c r="CQ2" t="str">
        <f>$AF$57</f>
        <v>2010 Q3</v>
      </c>
      <c r="CR2" t="str">
        <f>$AG$57</f>
        <v>2010 Q2</v>
      </c>
      <c r="CS2" t="str">
        <f>$AH$57</f>
        <v>2010 Q1</v>
      </c>
      <c r="CT2" t="str">
        <f>$AI$57</f>
        <v>2009 Q4</v>
      </c>
      <c r="CU2" t="str">
        <f>$AJ$57</f>
        <v>2009 Q3</v>
      </c>
      <c r="CV2" t="str">
        <f>$AK$57</f>
        <v>2009 Q2</v>
      </c>
      <c r="CW2" t="str">
        <f>$AL$57</f>
        <v>2009 Q1</v>
      </c>
      <c r="CX2" t="str">
        <f>$AM$57</f>
        <v>2008 Q4</v>
      </c>
      <c r="CY2" t="str">
        <f>$AN$57</f>
        <v>2008 Q3</v>
      </c>
      <c r="CZ2" t="str">
        <f>$AO$57</f>
        <v>2008 Q2</v>
      </c>
      <c r="DA2" t="str">
        <f>$AP$57</f>
        <v>2008 Q1</v>
      </c>
      <c r="DB2" t="str">
        <f>$AQ$57</f>
        <v>2007 Q4</v>
      </c>
      <c r="DC2" t="str">
        <f>$AR$57</f>
        <v>2007 Q3</v>
      </c>
      <c r="DD2" t="str">
        <f>$AS$57</f>
        <v>2007 Q2</v>
      </c>
      <c r="DE2" t="str">
        <f>$AT$57</f>
        <v>2007 Q1</v>
      </c>
      <c r="DF2" t="str">
        <f>$AU$57</f>
        <v>2006 Q4</v>
      </c>
      <c r="DG2" t="str">
        <f>$AV$57</f>
        <v>2006 Q3</v>
      </c>
      <c r="DH2" t="str">
        <f>$AW$57</f>
        <v>2006 Q2</v>
      </c>
      <c r="DI2" t="str">
        <f>$AX$57</f>
        <v>2006 Q1</v>
      </c>
      <c r="DJ2" t="str">
        <f>$AY$57</f>
        <v>2005 Q4</v>
      </c>
      <c r="DK2" t="str">
        <f>$AZ$57</f>
        <v>2005 Q3</v>
      </c>
      <c r="DL2" t="str">
        <f>$BA$57</f>
        <v>2005 Q2</v>
      </c>
      <c r="DM2" t="str">
        <f>$BB$57</f>
        <v>2005 Q1</v>
      </c>
      <c r="DN2" t="str">
        <f>$BC$57</f>
        <v>2004 Q4</v>
      </c>
      <c r="DO2" t="str">
        <f>$BD$57</f>
        <v>2004 Q3</v>
      </c>
      <c r="DP2" t="str">
        <f>$BE$57</f>
        <v>2004 Q2</v>
      </c>
      <c r="DQ2" t="str">
        <f>$BF$57</f>
        <v>2004 Q1</v>
      </c>
      <c r="DR2" t="str">
        <f>$BG$57</f>
        <v>2003 Q4</v>
      </c>
      <c r="DS2" t="str">
        <f>$BH$57</f>
        <v>2003 Q3</v>
      </c>
      <c r="DT2" t="str">
        <f>$BI$57</f>
        <v>2003 Q2</v>
      </c>
      <c r="DU2" t="str">
        <f>$BJ$57</f>
        <v>2003 Q1</v>
      </c>
    </row>
    <row r="3" spans="1:125">
      <c r="A3" t="str">
        <f>"NAREIT T-Tracker数据"</f>
        <v>NAREIT T-Tracker数据</v>
      </c>
      <c r="B3" t="str">
        <f>""</f>
        <v/>
      </c>
      <c r="E3" t="str">
        <f>"标题"</f>
        <v>标题</v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>
      <c r="A4" t="str">
        <f>"医疗保健房地产投资信托数据"</f>
        <v>医疗保健房地产投资信托数据</v>
      </c>
      <c r="B4" t="str">
        <f>""</f>
        <v/>
      </c>
      <c r="E4" t="str">
        <f>"静态"</f>
        <v>静态</v>
      </c>
      <c r="F4" t="str">
        <f t="shared" ref="F4:AK4" ca="1" si="0">HLOOKUP(INDIRECT(ADDRESS(2,COLUMN())),OFFSET($BN$2,0,0,ROW()-1,60),ROW()-1,FALSE)</f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ref="AL4:BM4" ca="1" si="1">HLOOKUP(INDIRECT(ADDRESS(2,COLUMN())),OFFSET($BN$2,0,0,ROW()-1,60),ROW()-1,FALSE)</f>
        <v/>
      </c>
      <c r="AM4" t="str">
        <f t="shared" ca="1" si="1"/>
        <v/>
      </c>
      <c r="AN4" t="str">
        <f t="shared" ca="1" si="1"/>
        <v/>
      </c>
      <c r="AO4" t="str">
        <f t="shared" ca="1" si="1"/>
        <v/>
      </c>
      <c r="AP4" t="str">
        <f t="shared" ca="1" si="1"/>
        <v/>
      </c>
      <c r="AQ4" t="str">
        <f t="shared" ca="1" si="1"/>
        <v/>
      </c>
      <c r="AR4" t="str">
        <f t="shared" ca="1" si="1"/>
        <v/>
      </c>
      <c r="AS4" t="str">
        <f t="shared" ca="1" si="1"/>
        <v/>
      </c>
      <c r="AT4" t="str">
        <f t="shared" ca="1" si="1"/>
        <v/>
      </c>
      <c r="AU4" t="str">
        <f t="shared" ca="1" si="1"/>
        <v/>
      </c>
      <c r="AV4" t="str">
        <f t="shared" ca="1" si="1"/>
        <v/>
      </c>
      <c r="AW4" t="str">
        <f t="shared" ca="1" si="1"/>
        <v/>
      </c>
      <c r="AX4" t="str">
        <f t="shared" ca="1" si="1"/>
        <v/>
      </c>
      <c r="AY4" t="str">
        <f t="shared" ca="1" si="1"/>
        <v/>
      </c>
      <c r="AZ4" t="str">
        <f t="shared" ca="1" si="1"/>
        <v/>
      </c>
      <c r="BA4" t="str">
        <f t="shared" ca="1" si="1"/>
        <v/>
      </c>
      <c r="BB4" t="str">
        <f t="shared" ca="1" si="1"/>
        <v/>
      </c>
      <c r="BC4" t="str">
        <f t="shared" ca="1" si="1"/>
        <v/>
      </c>
      <c r="BD4" t="str">
        <f t="shared" ca="1" si="1"/>
        <v/>
      </c>
      <c r="BE4" t="str">
        <f t="shared" ca="1" si="1"/>
        <v/>
      </c>
      <c r="BF4" t="str">
        <f t="shared" ca="1" si="1"/>
        <v/>
      </c>
      <c r="BG4" t="str">
        <f t="shared" ca="1" si="1"/>
        <v/>
      </c>
      <c r="BH4" t="str">
        <f t="shared" ca="1" si="1"/>
        <v/>
      </c>
      <c r="BI4" t="str">
        <f t="shared" ca="1" si="1"/>
        <v/>
      </c>
      <c r="BJ4" t="str">
        <f t="shared" ca="1" si="1"/>
        <v/>
      </c>
      <c r="BK4" t="str">
        <f t="shared" ca="1" si="1"/>
        <v/>
      </c>
      <c r="BL4" t="str">
        <f t="shared" ca="1" si="1"/>
        <v/>
      </c>
      <c r="BM4" t="str">
        <f t="shared" ca="1" si="1"/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  <c r="CH4" t="str">
        <f>""</f>
        <v/>
      </c>
      <c r="CI4" t="str">
        <f>""</f>
        <v/>
      </c>
      <c r="CJ4" t="str">
        <f>""</f>
        <v/>
      </c>
      <c r="CK4" t="str">
        <f>""</f>
        <v/>
      </c>
      <c r="CL4" t="str">
        <f>""</f>
        <v/>
      </c>
      <c r="CM4" t="str">
        <f>""</f>
        <v/>
      </c>
      <c r="CN4" t="str">
        <f>""</f>
        <v/>
      </c>
      <c r="CO4" t="str">
        <f>""</f>
        <v/>
      </c>
      <c r="CP4" t="str">
        <f>""</f>
        <v/>
      </c>
      <c r="CQ4" t="str">
        <f>""</f>
        <v/>
      </c>
      <c r="CR4" t="str">
        <f>""</f>
        <v/>
      </c>
      <c r="CS4" t="str">
        <f>""</f>
        <v/>
      </c>
      <c r="CT4" t="str">
        <f>""</f>
        <v/>
      </c>
      <c r="CU4" t="str">
        <f>""</f>
        <v/>
      </c>
      <c r="CV4" t="str">
        <f>""</f>
        <v/>
      </c>
      <c r="CW4" t="str">
        <f>""</f>
        <v/>
      </c>
      <c r="CX4" t="str">
        <f>""</f>
        <v/>
      </c>
      <c r="CY4" t="str">
        <f>""</f>
        <v/>
      </c>
      <c r="CZ4" t="str">
        <f>""</f>
        <v/>
      </c>
      <c r="DA4" t="str">
        <f>""</f>
        <v/>
      </c>
      <c r="DB4" t="str">
        <f>""</f>
        <v/>
      </c>
      <c r="DC4" t="str">
        <f>""</f>
        <v/>
      </c>
      <c r="DD4" t="str">
        <f>""</f>
        <v/>
      </c>
      <c r="DE4" t="str">
        <f>""</f>
        <v/>
      </c>
      <c r="DF4" t="str">
        <f>""</f>
        <v/>
      </c>
      <c r="DG4" t="str">
        <f>""</f>
        <v/>
      </c>
      <c r="DH4" t="str">
        <f>""</f>
        <v/>
      </c>
      <c r="DI4" t="str">
        <f>""</f>
        <v/>
      </c>
      <c r="DJ4" t="str">
        <f>""</f>
        <v/>
      </c>
      <c r="DK4" t="str">
        <f>""</f>
        <v/>
      </c>
      <c r="DL4" t="str">
        <f>""</f>
        <v/>
      </c>
      <c r="DM4" t="str">
        <f>""</f>
        <v/>
      </c>
      <c r="DN4" t="str">
        <f>""</f>
        <v/>
      </c>
      <c r="DO4" t="str">
        <f>""</f>
        <v/>
      </c>
      <c r="DP4" t="str">
        <f>""</f>
        <v/>
      </c>
      <c r="DQ4" t="str">
        <f>""</f>
        <v/>
      </c>
      <c r="DR4" t="str">
        <f>""</f>
        <v/>
      </c>
      <c r="DS4" t="str">
        <f>""</f>
        <v/>
      </c>
      <c r="DT4" t="str">
        <f>""</f>
        <v/>
      </c>
      <c r="DU4" t="str">
        <f>""</f>
        <v/>
      </c>
    </row>
    <row r="5" spans="1:125">
      <c r="A5" t="str">
        <f>"    医疗保健房地产投资信托同店净营业利润增长"</f>
        <v xml:space="preserve">    医疗保健房地产投资信托同店净营业利润增长</v>
      </c>
      <c r="B5" t="str">
        <f>"RECFSSHC Index"</f>
        <v>RECFSSHC Index</v>
      </c>
      <c r="C5" t="str">
        <f>"PR005"</f>
        <v>PR005</v>
      </c>
      <c r="D5" t="str">
        <f>"PX_LAST"</f>
        <v>PX_LAST</v>
      </c>
      <c r="E5" t="str">
        <f>"动态"</f>
        <v>动态</v>
      </c>
      <c r="F5">
        <f ca="1">IF(AND(ISNUMBER($F$33),$B$28=1),$F$33,HLOOKUP(INDIRECT(ADDRESS(2,COLUMN())),OFFSET($BN$2,0,0,ROW()-1,60),ROW()-1,FALSE))</f>
        <v>2.0788181259999998</v>
      </c>
      <c r="G5">
        <f ca="1">IF(AND(ISNUMBER($G$33),$B$28=1),$G$33,HLOOKUP(INDIRECT(ADDRESS(2,COLUMN())),OFFSET($BN$2,0,0,ROW()-1,60),ROW()-1,FALSE))</f>
        <v>1.9553645589999999</v>
      </c>
      <c r="H5">
        <f ca="1">IF(AND(ISNUMBER($H$33),$B$28=1),$H$33,HLOOKUP(INDIRECT(ADDRESS(2,COLUMN())),OFFSET($BN$2,0,0,ROW()-1,60),ROW()-1,FALSE))</f>
        <v>1.8331075509999999</v>
      </c>
      <c r="I5">
        <f ca="1">IF(AND(ISNUMBER($I$33),$B$28=1),$I$33,HLOOKUP(INDIRECT(ADDRESS(2,COLUMN())),OFFSET($BN$2,0,0,ROW()-1,60),ROW()-1,FALSE))</f>
        <v>2.6336127349999998</v>
      </c>
      <c r="J5">
        <f ca="1">IF(AND(ISNUMBER($J$33),$B$28=1),$J$33,HLOOKUP(INDIRECT(ADDRESS(2,COLUMN())),OFFSET($BN$2,0,0,ROW()-1,60),ROW()-1,FALSE))</f>
        <v>2.3077531819999999</v>
      </c>
      <c r="K5">
        <f ca="1">IF(AND(ISNUMBER($K$33),$B$28=1),$K$33,HLOOKUP(INDIRECT(ADDRESS(2,COLUMN())),OFFSET($BN$2,0,0,ROW()-1,60),ROW()-1,FALSE))</f>
        <v>2.4916117010000001</v>
      </c>
      <c r="L5">
        <f ca="1">IF(AND(ISNUMBER($L$33),$B$28=1),$L$33,HLOOKUP(INDIRECT(ADDRESS(2,COLUMN())),OFFSET($BN$2,0,0,ROW()-1,60),ROW()-1,FALSE))</f>
        <v>3.2355277999999998</v>
      </c>
      <c r="M5">
        <f ca="1">IF(AND(ISNUMBER($M$33),$B$28=1),$M$33,HLOOKUP(INDIRECT(ADDRESS(2,COLUMN())),OFFSET($BN$2,0,0,ROW()-1,60),ROW()-1,FALSE))</f>
        <v>1.6954389240000001</v>
      </c>
      <c r="N5">
        <f ca="1">IF(AND(ISNUMBER($N$33),$B$28=1),$N$33,HLOOKUP(INDIRECT(ADDRESS(2,COLUMN())),OFFSET($BN$2,0,0,ROW()-1,60),ROW()-1,FALSE))</f>
        <v>1.2561532950000001</v>
      </c>
      <c r="O5">
        <f ca="1">IF(AND(ISNUMBER($O$33),$B$28=1),$O$33,HLOOKUP(INDIRECT(ADDRESS(2,COLUMN())),OFFSET($BN$2,0,0,ROW()-1,60),ROW()-1,FALSE))</f>
        <v>1.970905804</v>
      </c>
      <c r="P5">
        <f ca="1">IF(AND(ISNUMBER($P$33),$B$28=1),$P$33,HLOOKUP(INDIRECT(ADDRESS(2,COLUMN())),OFFSET($BN$2,0,0,ROW()-1,60),ROW()-1,FALSE))</f>
        <v>1.537237915</v>
      </c>
      <c r="Q5">
        <f ca="1">IF(AND(ISNUMBER($Q$33),$B$28=1),$Q$33,HLOOKUP(INDIRECT(ADDRESS(2,COLUMN())),OFFSET($BN$2,0,0,ROW()-1,60),ROW()-1,FALSE))</f>
        <v>3.1382668119999999</v>
      </c>
      <c r="R5">
        <f ca="1">IF(AND(ISNUMBER($R$33),$B$28=1),$R$33,HLOOKUP(INDIRECT(ADDRESS(2,COLUMN())),OFFSET($BN$2,0,0,ROW()-1,60),ROW()-1,FALSE))</f>
        <v>3.3944676139999999</v>
      </c>
      <c r="S5">
        <f ca="1">IF(AND(ISNUMBER($S$33),$B$28=1),$S$33,HLOOKUP(INDIRECT(ADDRESS(2,COLUMN())),OFFSET($BN$2,0,0,ROW()-1,60),ROW()-1,FALSE))</f>
        <v>3.5435120850000001</v>
      </c>
      <c r="T5">
        <f ca="1">IF(AND(ISNUMBER($T$33),$B$28=1),$T$33,HLOOKUP(INDIRECT(ADDRESS(2,COLUMN())),OFFSET($BN$2,0,0,ROW()-1,60),ROW()-1,FALSE))</f>
        <v>3.5840971800000001</v>
      </c>
      <c r="U5">
        <f ca="1">IF(AND(ISNUMBER($U$33),$B$28=1),$U$33,HLOOKUP(INDIRECT(ADDRESS(2,COLUMN())),OFFSET($BN$2,0,0,ROW()-1,60),ROW()-1,FALSE))</f>
        <v>3.725343826</v>
      </c>
      <c r="V5">
        <f ca="1">IF(AND(ISNUMBER($V$33),$B$28=1),$V$33,HLOOKUP(INDIRECT(ADDRESS(2,COLUMN())),OFFSET($BN$2,0,0,ROW()-1,60),ROW()-1,FALSE))</f>
        <v>3.457972405</v>
      </c>
      <c r="W5">
        <f ca="1">IF(AND(ISNUMBER($W$33),$B$28=1),$W$33,HLOOKUP(INDIRECT(ADDRESS(2,COLUMN())),OFFSET($BN$2,0,0,ROW()-1,60),ROW()-1,FALSE))</f>
        <v>3.3590902909999998</v>
      </c>
      <c r="X5">
        <f ca="1">IF(AND(ISNUMBER($X$33),$B$28=1),$X$33,HLOOKUP(INDIRECT(ADDRESS(2,COLUMN())),OFFSET($BN$2,0,0,ROW()-1,60),ROW()-1,FALSE))</f>
        <v>3.0166877140000001</v>
      </c>
      <c r="Y5">
        <f ca="1">IF(AND(ISNUMBER($Y$33),$B$28=1),$Y$33,HLOOKUP(INDIRECT(ADDRESS(2,COLUMN())),OFFSET($BN$2,0,0,ROW()-1,60),ROW()-1,FALSE))</f>
        <v>2.554338644</v>
      </c>
      <c r="Z5">
        <f ca="1">IF(AND(ISNUMBER($Z$33),$B$28=1),$Z$33,HLOOKUP(INDIRECT(ADDRESS(2,COLUMN())),OFFSET($BN$2,0,0,ROW()-1,60),ROW()-1,FALSE))</f>
        <v>4.0625595040000002</v>
      </c>
      <c r="AA5">
        <f ca="1">IF(AND(ISNUMBER($AA$33),$B$28=1),$AA$33,HLOOKUP(INDIRECT(ADDRESS(2,COLUMN())),OFFSET($BN$2,0,0,ROW()-1,60),ROW()-1,FALSE))</f>
        <v>3.598590459</v>
      </c>
      <c r="AB5">
        <f ca="1">IF(AND(ISNUMBER($AB$33),$B$28=1),$AB$33,HLOOKUP(INDIRECT(ADDRESS(2,COLUMN())),OFFSET($BN$2,0,0,ROW()-1,60),ROW()-1,FALSE))</f>
        <v>2.9983022880000001</v>
      </c>
      <c r="AC5">
        <f ca="1">IF(AND(ISNUMBER($AC$33),$B$28=1),$AC$33,HLOOKUP(INDIRECT(ADDRESS(2,COLUMN())),OFFSET($BN$2,0,0,ROW()-1,60),ROW()-1,FALSE))</f>
        <v>4.107885392</v>
      </c>
      <c r="AD5">
        <f ca="1">IF(AND(ISNUMBER($AD$33),$B$28=1),$AD$33,HLOOKUP(INDIRECT(ADDRESS(2,COLUMN())),OFFSET($BN$2,0,0,ROW()-1,60),ROW()-1,FALSE))</f>
        <v>2.9506705759999998</v>
      </c>
      <c r="AE5">
        <f ca="1">IF(AND(ISNUMBER($AE$33),$B$28=1),$AE$33,HLOOKUP(INDIRECT(ADDRESS(2,COLUMN())),OFFSET($BN$2,0,0,ROW()-1,60),ROW()-1,FALSE))</f>
        <v>3.718062465</v>
      </c>
      <c r="AF5">
        <f ca="1">IF(AND(ISNUMBER($AF$33),$B$28=1),$AF$33,HLOOKUP(INDIRECT(ADDRESS(2,COLUMN())),OFFSET($BN$2,0,0,ROW()-1,60),ROW()-1,FALSE))</f>
        <v>3.258686435</v>
      </c>
      <c r="AG5">
        <f ca="1">IF(AND(ISNUMBER($AG$33),$B$28=1),$AG$33,HLOOKUP(INDIRECT(ADDRESS(2,COLUMN())),OFFSET($BN$2,0,0,ROW()-1,60),ROW()-1,FALSE))</f>
        <v>4.7056443889999997</v>
      </c>
      <c r="AH5">
        <f ca="1">IF(AND(ISNUMBER($AH$33),$B$28=1),$AH$33,HLOOKUP(INDIRECT(ADDRESS(2,COLUMN())),OFFSET($BN$2,0,0,ROW()-1,60),ROW()-1,FALSE))</f>
        <v>5.6141905650000004</v>
      </c>
      <c r="AI5">
        <f ca="1">IF(AND(ISNUMBER($AI$33),$B$28=1),$AI$33,HLOOKUP(INDIRECT(ADDRESS(2,COLUMN())),OFFSET($BN$2,0,0,ROW()-1,60),ROW()-1,FALSE))</f>
        <v>5.1655843859999999</v>
      </c>
      <c r="AJ5">
        <f ca="1">IF(AND(ISNUMBER($AJ$33),$B$28=1),$AJ$33,HLOOKUP(INDIRECT(ADDRESS(2,COLUMN())),OFFSET($BN$2,0,0,ROW()-1,60),ROW()-1,FALSE))</f>
        <v>5.7038993170000003</v>
      </c>
      <c r="AK5">
        <f ca="1">IF(AND(ISNUMBER($AK$33),$B$28=1),$AK$33,HLOOKUP(INDIRECT(ADDRESS(2,COLUMN())),OFFSET($BN$2,0,0,ROW()-1,60),ROW()-1,FALSE))</f>
        <v>3.7130456519999999</v>
      </c>
      <c r="AL5">
        <f ca="1">IF(AND(ISNUMBER($AL$33),$B$28=1),$AL$33,HLOOKUP(INDIRECT(ADDRESS(2,COLUMN())),OFFSET($BN$2,0,0,ROW()-1,60),ROW()-1,FALSE))</f>
        <v>2.2978087600000001</v>
      </c>
      <c r="AM5">
        <f ca="1">IF(AND(ISNUMBER($AM$33),$B$28=1),$AM$33,HLOOKUP(INDIRECT(ADDRESS(2,COLUMN())),OFFSET($BN$2,0,0,ROW()-1,60),ROW()-1,FALSE))</f>
        <v>3.3280920909999998</v>
      </c>
      <c r="AN5">
        <f ca="1">IF(AND(ISNUMBER($AN$33),$B$28=1),$AN$33,HLOOKUP(INDIRECT(ADDRESS(2,COLUMN())),OFFSET($BN$2,0,0,ROW()-1,60),ROW()-1,FALSE))</f>
        <v>4.6756319619999998</v>
      </c>
      <c r="AO5">
        <f ca="1">IF(AND(ISNUMBER($AO$33),$B$28=1),$AO$33,HLOOKUP(INDIRECT(ADDRESS(2,COLUMN())),OFFSET($BN$2,0,0,ROW()-1,60),ROW()-1,FALSE))</f>
        <v>2.9697423590000001</v>
      </c>
      <c r="AP5">
        <f ca="1">IF(AND(ISNUMBER($AP$33),$B$28=1),$AP$33,HLOOKUP(INDIRECT(ADDRESS(2,COLUMN())),OFFSET($BN$2,0,0,ROW()-1,60),ROW()-1,FALSE))</f>
        <v>0</v>
      </c>
      <c r="AQ5">
        <f ca="1">IF(AND(ISNUMBER($AQ$33),$B$28=1),$AQ$33,HLOOKUP(INDIRECT(ADDRESS(2,COLUMN())),OFFSET($BN$2,0,0,ROW()-1,60),ROW()-1,FALSE))</f>
        <v>0</v>
      </c>
      <c r="AR5">
        <f ca="1">IF(AND(ISNUMBER($AR$33),$B$28=1),$AR$33,HLOOKUP(INDIRECT(ADDRESS(2,COLUMN())),OFFSET($BN$2,0,0,ROW()-1,60),ROW()-1,FALSE))</f>
        <v>0</v>
      </c>
      <c r="AS5">
        <f ca="1">IF(AND(ISNUMBER($AS$33),$B$28=1),$AS$33,HLOOKUP(INDIRECT(ADDRESS(2,COLUMN())),OFFSET($BN$2,0,0,ROW()-1,60),ROW()-1,FALSE))</f>
        <v>2.3259606719999999</v>
      </c>
      <c r="AT5">
        <f ca="1">IF(AND(ISNUMBER($AT$33),$B$28=1),$AT$33,HLOOKUP(INDIRECT(ADDRESS(2,COLUMN())),OFFSET($BN$2,0,0,ROW()-1,60),ROW()-1,FALSE))</f>
        <v>0</v>
      </c>
      <c r="AU5">
        <f ca="1">IF(AND(ISNUMBER($AU$33),$B$28=1),$AU$33,HLOOKUP(INDIRECT(ADDRESS(2,COLUMN())),OFFSET($BN$2,0,0,ROW()-1,60),ROW()-1,FALSE))</f>
        <v>0</v>
      </c>
      <c r="AV5">
        <f ca="1">IF(AND(ISNUMBER($AV$33),$B$28=1),$AV$33,HLOOKUP(INDIRECT(ADDRESS(2,COLUMN())),OFFSET($BN$2,0,0,ROW()-1,60),ROW()-1,FALSE))</f>
        <v>0</v>
      </c>
      <c r="AW5">
        <f ca="1">IF(AND(ISNUMBER($AW$33),$B$28=1),$AW$33,HLOOKUP(INDIRECT(ADDRESS(2,COLUMN())),OFFSET($BN$2,0,0,ROW()-1,60),ROW()-1,FALSE))</f>
        <v>3.433277479</v>
      </c>
      <c r="AX5">
        <f ca="1">IF(AND(ISNUMBER($AX$33),$B$28=1),$AX$33,HLOOKUP(INDIRECT(ADDRESS(2,COLUMN())),OFFSET($BN$2,0,0,ROW()-1,60),ROW()-1,FALSE))</f>
        <v>0</v>
      </c>
      <c r="AY5">
        <f ca="1">IF(AND(ISNUMBER($AY$33),$B$28=1),$AY$33,HLOOKUP(INDIRECT(ADDRESS(2,COLUMN())),OFFSET($BN$2,0,0,ROW()-1,60),ROW()-1,FALSE))</f>
        <v>0</v>
      </c>
      <c r="AZ5">
        <f ca="1">IF(AND(ISNUMBER($AZ$33),$B$28=1),$AZ$33,HLOOKUP(INDIRECT(ADDRESS(2,COLUMN())),OFFSET($BN$2,0,0,ROW()-1,60),ROW()-1,FALSE))</f>
        <v>0</v>
      </c>
      <c r="BA5">
        <f ca="1">IF(AND(ISNUMBER($BA$33),$B$28=1),$BA$33,HLOOKUP(INDIRECT(ADDRESS(2,COLUMN())),OFFSET($BN$2,0,0,ROW()-1,60),ROW()-1,FALSE))</f>
        <v>1.7399090939999999</v>
      </c>
      <c r="BB5">
        <f ca="1">IF(AND(ISNUMBER($BB$33),$B$28=1),$BB$33,HLOOKUP(INDIRECT(ADDRESS(2,COLUMN())),OFFSET($BN$2,0,0,ROW()-1,60),ROW()-1,FALSE))</f>
        <v>0</v>
      </c>
      <c r="BC5">
        <f ca="1">IF(AND(ISNUMBER($BC$33),$B$28=1),$BC$33,HLOOKUP(INDIRECT(ADDRESS(2,COLUMN())),OFFSET($BN$2,0,0,ROW()-1,60),ROW()-1,FALSE))</f>
        <v>0</v>
      </c>
      <c r="BD5">
        <f ca="1">IF(AND(ISNUMBER($BD$33),$B$28=1),$BD$33,HLOOKUP(INDIRECT(ADDRESS(2,COLUMN())),OFFSET($BN$2,0,0,ROW()-1,60),ROW()-1,FALSE))</f>
        <v>0</v>
      </c>
      <c r="BE5">
        <f ca="1">IF(AND(ISNUMBER($BE$33),$B$28=1),$BE$33,HLOOKUP(INDIRECT(ADDRESS(2,COLUMN())),OFFSET($BN$2,0,0,ROW()-1,60),ROW()-1,FALSE))</f>
        <v>0</v>
      </c>
      <c r="BF5">
        <f ca="1">IF(AND(ISNUMBER($BF$33),$B$28=1),$BF$33,HLOOKUP(INDIRECT(ADDRESS(2,COLUMN())),OFFSET($BN$2,0,0,ROW()-1,60),ROW()-1,FALSE))</f>
        <v>0</v>
      </c>
      <c r="BG5">
        <f ca="1">IF(AND(ISNUMBER($BG$33),$B$28=1),$BG$33,HLOOKUP(INDIRECT(ADDRESS(2,COLUMN())),OFFSET($BN$2,0,0,ROW()-1,60),ROW()-1,FALSE))</f>
        <v>0</v>
      </c>
      <c r="BH5">
        <f ca="1">IF(AND(ISNUMBER($BH$33),$B$28=1),$BH$33,HLOOKUP(INDIRECT(ADDRESS(2,COLUMN())),OFFSET($BN$2,0,0,ROW()-1,60),ROW()-1,FALSE))</f>
        <v>0</v>
      </c>
      <c r="BI5">
        <f ca="1">IF(AND(ISNUMBER($BI$33),$B$28=1),$BI$33,HLOOKUP(INDIRECT(ADDRESS(2,COLUMN())),OFFSET($BN$2,0,0,ROW()-1,60),ROW()-1,FALSE))</f>
        <v>0</v>
      </c>
      <c r="BJ5">
        <f ca="1">IF(AND(ISNUMBER($BJ$33),$B$28=1),$BJ$33,HLOOKUP(INDIRECT(ADDRESS(2,COLUMN())),OFFSET($BN$2,0,0,ROW()-1,60),ROW()-1,FALSE))</f>
        <v>0</v>
      </c>
      <c r="BK5">
        <f ca="1">IF(AND(ISNUMBER($BK$33),$B$28=1),$BK$33,HLOOKUP(INDIRECT(ADDRESS(2,COLUMN())),OFFSET($BN$2,0,0,ROW()-1,60),ROW()-1,FALSE))</f>
        <v>0</v>
      </c>
      <c r="BL5">
        <f ca="1">IF(AND(ISNUMBER($BL$33),$B$28=1),$BL$33,HLOOKUP(INDIRECT(ADDRESS(2,COLUMN())),OFFSET($BN$2,0,0,ROW()-1,60),ROW()-1,FALSE))</f>
        <v>0</v>
      </c>
      <c r="BM5">
        <f ca="1">IF(AND(ISNUMBER($BM$33),$B$28=1),$BM$33,HLOOKUP(INDIRECT(ADDRESS(2,COLUMN())),OFFSET($BN$2,0,0,ROW()-1,60),ROW()-1,FALSE))</f>
        <v>0</v>
      </c>
      <c r="BN5">
        <f>2.078818126</f>
        <v>2.0788181259999998</v>
      </c>
      <c r="BO5">
        <f>1.955364559</f>
        <v>1.9553645589999999</v>
      </c>
      <c r="BP5">
        <f>1.833107551</f>
        <v>1.8331075509999999</v>
      </c>
      <c r="BQ5">
        <f>2.633612735</f>
        <v>2.6336127349999998</v>
      </c>
      <c r="BR5">
        <f>2.307753182</f>
        <v>2.3077531819999999</v>
      </c>
      <c r="BS5">
        <f>2.491611701</f>
        <v>2.4916117010000001</v>
      </c>
      <c r="BT5">
        <f>3.2355278</f>
        <v>3.2355277999999998</v>
      </c>
      <c r="BU5">
        <f>1.695438924</f>
        <v>1.6954389240000001</v>
      </c>
      <c r="BV5">
        <f>1.256153295</f>
        <v>1.2561532950000001</v>
      </c>
      <c r="BW5">
        <f>1.970905804</f>
        <v>1.970905804</v>
      </c>
      <c r="BX5">
        <f>1.537237915</f>
        <v>1.537237915</v>
      </c>
      <c r="BY5">
        <f>3.138266812</f>
        <v>3.1382668119999999</v>
      </c>
      <c r="BZ5">
        <f>3.394467614</f>
        <v>3.3944676139999999</v>
      </c>
      <c r="CA5">
        <f>3.543512085</f>
        <v>3.5435120850000001</v>
      </c>
      <c r="CB5">
        <f>3.58409718</f>
        <v>3.5840971800000001</v>
      </c>
      <c r="CC5">
        <f>3.725343826</f>
        <v>3.725343826</v>
      </c>
      <c r="CD5">
        <f>3.457972405</f>
        <v>3.457972405</v>
      </c>
      <c r="CE5">
        <f>3.359090291</f>
        <v>3.3590902909999998</v>
      </c>
      <c r="CF5">
        <f>3.016687714</f>
        <v>3.0166877140000001</v>
      </c>
      <c r="CG5">
        <f>2.554338644</f>
        <v>2.554338644</v>
      </c>
      <c r="CH5">
        <f>4.062559504</f>
        <v>4.0625595040000002</v>
      </c>
      <c r="CI5">
        <f>3.598590459</f>
        <v>3.598590459</v>
      </c>
      <c r="CJ5">
        <f>2.998302288</f>
        <v>2.9983022880000001</v>
      </c>
      <c r="CK5">
        <f>4.107885392</f>
        <v>4.107885392</v>
      </c>
      <c r="CL5">
        <f>2.950670576</f>
        <v>2.9506705759999998</v>
      </c>
      <c r="CM5">
        <f>3.718062465</f>
        <v>3.718062465</v>
      </c>
      <c r="CN5">
        <f>3.258686435</f>
        <v>3.258686435</v>
      </c>
      <c r="CO5">
        <f>4.705644389</f>
        <v>4.7056443889999997</v>
      </c>
      <c r="CP5">
        <f>5.614190565</f>
        <v>5.6141905650000004</v>
      </c>
      <c r="CQ5">
        <f>5.165584386</f>
        <v>5.1655843859999999</v>
      </c>
      <c r="CR5">
        <f>5.703899317</f>
        <v>5.7038993170000003</v>
      </c>
      <c r="CS5">
        <f>3.713045652</f>
        <v>3.7130456519999999</v>
      </c>
      <c r="CT5">
        <f>2.29780876</f>
        <v>2.2978087600000001</v>
      </c>
      <c r="CU5">
        <f>3.328092091</f>
        <v>3.3280920909999998</v>
      </c>
      <c r="CV5">
        <f>4.675631962</f>
        <v>4.6756319619999998</v>
      </c>
      <c r="CW5">
        <f>2.969742359</f>
        <v>2.9697423590000001</v>
      </c>
      <c r="CX5">
        <f>0</f>
        <v>0</v>
      </c>
      <c r="CY5">
        <f>0</f>
        <v>0</v>
      </c>
      <c r="CZ5">
        <f>0</f>
        <v>0</v>
      </c>
      <c r="DA5">
        <f>2.325960672</f>
        <v>2.3259606719999999</v>
      </c>
      <c r="DB5">
        <f>0</f>
        <v>0</v>
      </c>
      <c r="DC5">
        <f>0</f>
        <v>0</v>
      </c>
      <c r="DD5">
        <f>0</f>
        <v>0</v>
      </c>
      <c r="DE5">
        <f>3.433277479</f>
        <v>3.433277479</v>
      </c>
      <c r="DF5">
        <f>0</f>
        <v>0</v>
      </c>
      <c r="DG5">
        <f>0</f>
        <v>0</v>
      </c>
      <c r="DH5">
        <f>0</f>
        <v>0</v>
      </c>
      <c r="DI5">
        <f>1.739909094</f>
        <v>1.7399090939999999</v>
      </c>
      <c r="DJ5">
        <f>0</f>
        <v>0</v>
      </c>
      <c r="DK5">
        <f>0</f>
        <v>0</v>
      </c>
      <c r="DL5">
        <f>0</f>
        <v>0</v>
      </c>
      <c r="DM5">
        <f>0</f>
        <v>0</v>
      </c>
      <c r="DN5">
        <f>0</f>
        <v>0</v>
      </c>
      <c r="DO5">
        <f>0</f>
        <v>0</v>
      </c>
      <c r="DP5">
        <f>0</f>
        <v>0</v>
      </c>
      <c r="DQ5">
        <f>0</f>
        <v>0</v>
      </c>
      <c r="DR5">
        <f>0</f>
        <v>0</v>
      </c>
      <c r="DS5">
        <f>0</f>
        <v>0</v>
      </c>
      <c r="DT5">
        <f>0</f>
        <v>0</v>
      </c>
      <c r="DU5">
        <f>0</f>
        <v>0</v>
      </c>
    </row>
    <row r="6" spans="1:125">
      <c r="A6" t="str">
        <f>"    医疗保健房地产投资信托总营运现金流"</f>
        <v xml:space="preserve">    医疗保健房地产投资信托总营运现金流</v>
      </c>
      <c r="B6" t="str">
        <f>"RECFFOHC Index"</f>
        <v>RECFFOHC Index</v>
      </c>
      <c r="C6" t="str">
        <f>"PR005"</f>
        <v>PR005</v>
      </c>
      <c r="D6" t="str">
        <f>"PX_LAST"</f>
        <v>PX_LAST</v>
      </c>
      <c r="E6" t="str">
        <f>"动态"</f>
        <v>动态</v>
      </c>
      <c r="F6">
        <f ca="1">IF(AND(ISNUMBER($F$34),$B$28=1),$F$34,HLOOKUP(INDIRECT(ADDRESS(2,COLUMN())),OFFSET($BN$2,0,0,ROW()-1,60),ROW()-1,FALSE))</f>
        <v>1406.0893639999999</v>
      </c>
      <c r="G6">
        <f ca="1">IF(AND(ISNUMBER($G$34),$B$28=1),$G$34,HLOOKUP(INDIRECT(ADDRESS(2,COLUMN())),OFFSET($BN$2,0,0,ROW()-1,60),ROW()-1,FALSE))</f>
        <v>1349.1759999999999</v>
      </c>
      <c r="H6">
        <f ca="1">IF(AND(ISNUMBER($H$34),$B$28=1),$H$34,HLOOKUP(INDIRECT(ADDRESS(2,COLUMN())),OFFSET($BN$2,0,0,ROW()-1,60),ROW()-1,FALSE))</f>
        <v>1674.8209999999999</v>
      </c>
      <c r="I6">
        <f ca="1">IF(AND(ISNUMBER($I$34),$B$28=1),$I$34,HLOOKUP(INDIRECT(ADDRESS(2,COLUMN())),OFFSET($BN$2,0,0,ROW()-1,60),ROW()-1,FALSE))</f>
        <v>1796.6590000000001</v>
      </c>
      <c r="J6">
        <f ca="1">IF(AND(ISNUMBER($J$34),$B$28=1),$J$34,HLOOKUP(INDIRECT(ADDRESS(2,COLUMN())),OFFSET($BN$2,0,0,ROW()-1,60),ROW()-1,FALSE))</f>
        <v>1724.0519999999999</v>
      </c>
      <c r="K6">
        <f ca="1">IF(AND(ISNUMBER($K$34),$B$28=1),$K$34,HLOOKUP(INDIRECT(ADDRESS(2,COLUMN())),OFFSET($BN$2,0,0,ROW()-1,60),ROW()-1,FALSE))</f>
        <v>1743.4829999999999</v>
      </c>
      <c r="L6">
        <f ca="1">IF(AND(ISNUMBER($L$34),$B$28=1),$L$34,HLOOKUP(INDIRECT(ADDRESS(2,COLUMN())),OFFSET($BN$2,0,0,ROW()-1,60),ROW()-1,FALSE))</f>
        <v>1829.711</v>
      </c>
      <c r="M6">
        <f ca="1">IF(AND(ISNUMBER($M$34),$B$28=1),$M$34,HLOOKUP(INDIRECT(ADDRESS(2,COLUMN())),OFFSET($BN$2,0,0,ROW()-1,60),ROW()-1,FALSE))</f>
        <v>1743.3789999999999</v>
      </c>
      <c r="N6">
        <f ca="1">IF(AND(ISNUMBER($N$34),$B$28=1),$N$34,HLOOKUP(INDIRECT(ADDRESS(2,COLUMN())),OFFSET($BN$2,0,0,ROW()-1,60),ROW()-1,FALSE))</f>
        <v>883.22799999999995</v>
      </c>
      <c r="O6">
        <f ca="1">IF(AND(ISNUMBER($O$34),$B$28=1),$O$34,HLOOKUP(INDIRECT(ADDRESS(2,COLUMN())),OFFSET($BN$2,0,0,ROW()-1,60),ROW()-1,FALSE))</f>
        <v>1531.7819999999999</v>
      </c>
      <c r="P6">
        <f ca="1">IF(AND(ISNUMBER($P$34),$B$28=1),$P$34,HLOOKUP(INDIRECT(ADDRESS(2,COLUMN())),OFFSET($BN$2,0,0,ROW()-1,60),ROW()-1,FALSE))</f>
        <v>1469.5909999999999</v>
      </c>
      <c r="Q6">
        <f ca="1">IF(AND(ISNUMBER($Q$34),$B$28=1),$Q$34,HLOOKUP(INDIRECT(ADDRESS(2,COLUMN())),OFFSET($BN$2,0,0,ROW()-1,60),ROW()-1,FALSE))</f>
        <v>1017.204</v>
      </c>
      <c r="R6">
        <f ca="1">IF(AND(ISNUMBER($R$34),$B$28=1),$R$34,HLOOKUP(INDIRECT(ADDRESS(2,COLUMN())),OFFSET($BN$2,0,0,ROW()-1,60),ROW()-1,FALSE))</f>
        <v>1402.614</v>
      </c>
      <c r="S6">
        <f ca="1">IF(AND(ISNUMBER($S$34),$B$28=1),$S$34,HLOOKUP(INDIRECT(ADDRESS(2,COLUMN())),OFFSET($BN$2,0,0,ROW()-1,60),ROW()-1,FALSE))</f>
        <v>1440.933</v>
      </c>
      <c r="T6">
        <f ca="1">IF(AND(ISNUMBER($T$34),$B$28=1),$T$34,HLOOKUP(INDIRECT(ADDRESS(2,COLUMN())),OFFSET($BN$2,0,0,ROW()-1,60),ROW()-1,FALSE))</f>
        <v>1235.931</v>
      </c>
      <c r="U6">
        <f ca="1">IF(AND(ISNUMBER($U$34),$B$28=1),$U$34,HLOOKUP(INDIRECT(ADDRESS(2,COLUMN())),OFFSET($BN$2,0,0,ROW()-1,60),ROW()-1,FALSE))</f>
        <v>1286.212</v>
      </c>
      <c r="V6">
        <f ca="1">IF(AND(ISNUMBER($V$34),$B$28=1),$V$34,HLOOKUP(INDIRECT(ADDRESS(2,COLUMN())),OFFSET($BN$2,0,0,ROW()-1,60),ROW()-1,FALSE))</f>
        <v>1282.704</v>
      </c>
      <c r="W6">
        <f ca="1">IF(AND(ISNUMBER($W$34),$B$28=1),$W$34,HLOOKUP(INDIRECT(ADDRESS(2,COLUMN())),OFFSET($BN$2,0,0,ROW()-1,60),ROW()-1,FALSE))</f>
        <v>1204.8140000000001</v>
      </c>
      <c r="X6">
        <f ca="1">IF(AND(ISNUMBER($X$34),$B$28=1),$X$34,HLOOKUP(INDIRECT(ADDRESS(2,COLUMN())),OFFSET($BN$2,0,0,ROW()-1,60),ROW()-1,FALSE))</f>
        <v>1135.4190000000001</v>
      </c>
      <c r="Y6">
        <f ca="1">IF(AND(ISNUMBER($Y$34),$B$28=1),$Y$34,HLOOKUP(INDIRECT(ADDRESS(2,COLUMN())),OFFSET($BN$2,0,0,ROW()-1,60),ROW()-1,FALSE))</f>
        <v>1076.135</v>
      </c>
      <c r="Z6">
        <f ca="1">IF(AND(ISNUMBER($Z$34),$B$28=1),$Z$34,HLOOKUP(INDIRECT(ADDRESS(2,COLUMN())),OFFSET($BN$2,0,0,ROW()-1,60),ROW()-1,FALSE))</f>
        <v>1081.5550000000001</v>
      </c>
      <c r="AA6">
        <f ca="1">IF(AND(ISNUMBER($AA$34),$B$28=1),$AA$34,HLOOKUP(INDIRECT(ADDRESS(2,COLUMN())),OFFSET($BN$2,0,0,ROW()-1,60),ROW()-1,FALSE))</f>
        <v>988.38599999999997</v>
      </c>
      <c r="AB6">
        <f ca="1">IF(AND(ISNUMBER($AB$34),$B$28=1),$AB$34,HLOOKUP(INDIRECT(ADDRESS(2,COLUMN())),OFFSET($BN$2,0,0,ROW()-1,60),ROW()-1,FALSE))</f>
        <v>930.17899999999997</v>
      </c>
      <c r="AC6">
        <f ca="1">IF(AND(ISNUMBER($AC$34),$B$28=1),$AC$34,HLOOKUP(INDIRECT(ADDRESS(2,COLUMN())),OFFSET($BN$2,0,0,ROW()-1,60),ROW()-1,FALSE))</f>
        <v>868.34699999999998</v>
      </c>
      <c r="AD6">
        <f ca="1">IF(AND(ISNUMBER($AD$34),$B$28=1),$AD$34,HLOOKUP(INDIRECT(ADDRESS(2,COLUMN())),OFFSET($BN$2,0,0,ROW()-1,60),ROW()-1,FALSE))</f>
        <v>860.88199999999995</v>
      </c>
      <c r="AE6">
        <f ca="1">IF(AND(ISNUMBER($AE$34),$B$28=1),$AE$34,HLOOKUP(INDIRECT(ADDRESS(2,COLUMN())),OFFSET($BN$2,0,0,ROW()-1,60),ROW()-1,FALSE))</f>
        <v>872.30399999999997</v>
      </c>
      <c r="AF6">
        <f ca="1">IF(AND(ISNUMBER($AF$34),$B$28=1),$AF$34,HLOOKUP(INDIRECT(ADDRESS(2,COLUMN())),OFFSET($BN$2,0,0,ROW()-1,60),ROW()-1,FALSE))</f>
        <v>766.19500000000005</v>
      </c>
      <c r="AG6">
        <f ca="1">IF(AND(ISNUMBER($AG$34),$B$28=1),$AG$34,HLOOKUP(INDIRECT(ADDRESS(2,COLUMN())),OFFSET($BN$2,0,0,ROW()-1,60),ROW()-1,FALSE))</f>
        <v>582.32899999999995</v>
      </c>
      <c r="AH6">
        <f ca="1">IF(AND(ISNUMBER($AH$34),$B$28=1),$AH$34,HLOOKUP(INDIRECT(ADDRESS(2,COLUMN())),OFFSET($BN$2,0,0,ROW()-1,60),ROW()-1,FALSE))</f>
        <v>527.197</v>
      </c>
      <c r="AI6">
        <f ca="1">IF(AND(ISNUMBER($AI$34),$B$28=1),$AI$34,HLOOKUP(INDIRECT(ADDRESS(2,COLUMN())),OFFSET($BN$2,0,0,ROW()-1,60),ROW()-1,FALSE))</f>
        <v>478.11099999999999</v>
      </c>
      <c r="AJ6">
        <f ca="1">IF(AND(ISNUMBER($AJ$34),$B$28=1),$AJ$34,HLOOKUP(INDIRECT(ADDRESS(2,COLUMN())),OFFSET($BN$2,0,0,ROW()-1,60),ROW()-1,FALSE))</f>
        <v>562.58000000000004</v>
      </c>
      <c r="AK6">
        <f ca="1">IF(AND(ISNUMBER($AK$34),$B$28=1),$AK$34,HLOOKUP(INDIRECT(ADDRESS(2,COLUMN())),OFFSET($BN$2,0,0,ROW()-1,60),ROW()-1,FALSE))</f>
        <v>547.36800000000005</v>
      </c>
      <c r="AL6">
        <f ca="1">IF(AND(ISNUMBER($AL$34),$B$28=1),$AL$34,HLOOKUP(INDIRECT(ADDRESS(2,COLUMN())),OFFSET($BN$2,0,0,ROW()-1,60),ROW()-1,FALSE))</f>
        <v>519.84199999999998</v>
      </c>
      <c r="AM6">
        <f ca="1">IF(AND(ISNUMBER($AM$34),$B$28=1),$AM$34,HLOOKUP(INDIRECT(ADDRESS(2,COLUMN())),OFFSET($BN$2,0,0,ROW()-1,60),ROW()-1,FALSE))</f>
        <v>423.98700000000002</v>
      </c>
      <c r="AN6">
        <f ca="1">IF(AND(ISNUMBER($AN$34),$B$28=1),$AN$34,HLOOKUP(INDIRECT(ADDRESS(2,COLUMN())),OFFSET($BN$2,0,0,ROW()-1,60),ROW()-1,FALSE))</f>
        <v>563.44899999999996</v>
      </c>
      <c r="AO6">
        <f ca="1">IF(AND(ISNUMBER($AO$34),$B$28=1),$AO$34,HLOOKUP(INDIRECT(ADDRESS(2,COLUMN())),OFFSET($BN$2,0,0,ROW()-1,60),ROW()-1,FALSE))</f>
        <v>435.50700000000001</v>
      </c>
      <c r="AP6">
        <f ca="1">IF(AND(ISNUMBER($AP$34),$B$28=1),$AP$34,HLOOKUP(INDIRECT(ADDRESS(2,COLUMN())),OFFSET($BN$2,0,0,ROW()-1,60),ROW()-1,FALSE))</f>
        <v>492.39699999999999</v>
      </c>
      <c r="AQ6">
        <f ca="1">IF(AND(ISNUMBER($AQ$34),$B$28=1),$AQ$34,HLOOKUP(INDIRECT(ADDRESS(2,COLUMN())),OFFSET($BN$2,0,0,ROW()-1,60),ROW()-1,FALSE))</f>
        <v>580.57600000000002</v>
      </c>
      <c r="AR6">
        <f ca="1">IF(AND(ISNUMBER($AR$34),$B$28=1),$AR$34,HLOOKUP(INDIRECT(ADDRESS(2,COLUMN())),OFFSET($BN$2,0,0,ROW()-1,60),ROW()-1,FALSE))</f>
        <v>490.96300000000002</v>
      </c>
      <c r="AS6">
        <f ca="1">IF(AND(ISNUMBER($AS$34),$B$28=1),$AS$34,HLOOKUP(INDIRECT(ADDRESS(2,COLUMN())),OFFSET($BN$2,0,0,ROW()-1,60),ROW()-1,FALSE))</f>
        <v>488.29500000000002</v>
      </c>
      <c r="AT6">
        <f ca="1">IF(AND(ISNUMBER($AT$34),$B$28=1),$AT$34,HLOOKUP(INDIRECT(ADDRESS(2,COLUMN())),OFFSET($BN$2,0,0,ROW()-1,60),ROW()-1,FALSE))</f>
        <v>477.13299999999998</v>
      </c>
      <c r="AU6">
        <f ca="1">IF(AND(ISNUMBER($AU$34),$B$28=1),$AU$34,HLOOKUP(INDIRECT(ADDRESS(2,COLUMN())),OFFSET($BN$2,0,0,ROW()-1,60),ROW()-1,FALSE))</f>
        <v>474.23200000000003</v>
      </c>
      <c r="AV6">
        <f ca="1">IF(AND(ISNUMBER($AV$34),$B$28=1),$AV$34,HLOOKUP(INDIRECT(ADDRESS(2,COLUMN())),OFFSET($BN$2,0,0,ROW()-1,60),ROW()-1,FALSE))</f>
        <v>472.14100000000002</v>
      </c>
      <c r="AW6">
        <f ca="1">IF(AND(ISNUMBER($AW$34),$B$28=1),$AW$34,HLOOKUP(INDIRECT(ADDRESS(2,COLUMN())),OFFSET($BN$2,0,0,ROW()-1,60),ROW()-1,FALSE))</f>
        <v>416.49</v>
      </c>
      <c r="AX6">
        <f ca="1">IF(AND(ISNUMBER($AX$34),$B$28=1),$AX$34,HLOOKUP(INDIRECT(ADDRESS(2,COLUMN())),OFFSET($BN$2,0,0,ROW()-1,60),ROW()-1,FALSE))</f>
        <v>366.21499999999997</v>
      </c>
      <c r="AY6">
        <f ca="1">IF(AND(ISNUMBER($AY$34),$B$28=1),$AY$34,HLOOKUP(INDIRECT(ADDRESS(2,COLUMN())),OFFSET($BN$2,0,0,ROW()-1,60),ROW()-1,FALSE))</f>
        <v>348.40800000000002</v>
      </c>
      <c r="AZ6">
        <f ca="1">IF(AND(ISNUMBER($AZ$34),$B$28=1),$AZ$34,HLOOKUP(INDIRECT(ADDRESS(2,COLUMN())),OFFSET($BN$2,0,0,ROW()-1,60),ROW()-1,FALSE))</f>
        <v>346.70100000000002</v>
      </c>
      <c r="BA6">
        <f ca="1">IF(AND(ISNUMBER($BA$34),$B$28=1),$BA$34,HLOOKUP(INDIRECT(ADDRESS(2,COLUMN())),OFFSET($BN$2,0,0,ROW()-1,60),ROW()-1,FALSE))</f>
        <v>330.31599999999997</v>
      </c>
      <c r="BB6">
        <f ca="1">IF(AND(ISNUMBER($BB$34),$B$28=1),$BB$34,HLOOKUP(INDIRECT(ADDRESS(2,COLUMN())),OFFSET($BN$2,0,0,ROW()-1,60),ROW()-1,FALSE))</f>
        <v>324.92950000000002</v>
      </c>
      <c r="BC6">
        <f ca="1">IF(AND(ISNUMBER($BC$34),$B$28=1),$BC$34,HLOOKUP(INDIRECT(ADDRESS(2,COLUMN())),OFFSET($BN$2,0,0,ROW()-1,60),ROW()-1,FALSE))</f>
        <v>302.50799999999998</v>
      </c>
      <c r="BD6">
        <f ca="1">IF(AND(ISNUMBER($BD$34),$B$28=1),$BD$34,HLOOKUP(INDIRECT(ADDRESS(2,COLUMN())),OFFSET($BN$2,0,0,ROW()-1,60),ROW()-1,FALSE))</f>
        <v>260.90899999999999</v>
      </c>
      <c r="BE6">
        <f ca="1">IF(AND(ISNUMBER($BE$34),$B$28=1),$BE$34,HLOOKUP(INDIRECT(ADDRESS(2,COLUMN())),OFFSET($BN$2,0,0,ROW()-1,60),ROW()-1,FALSE))</f>
        <v>285.55200000000002</v>
      </c>
      <c r="BF6">
        <f ca="1">IF(AND(ISNUMBER($BF$34),$B$28=1),$BF$34,HLOOKUP(INDIRECT(ADDRESS(2,COLUMN())),OFFSET($BN$2,0,0,ROW()-1,60),ROW()-1,FALSE))</f>
        <v>280.51</v>
      </c>
      <c r="BG6">
        <f ca="1">IF(AND(ISNUMBER($BG$34),$B$28=1),$BG$34,HLOOKUP(INDIRECT(ADDRESS(2,COLUMN())),OFFSET($BN$2,0,0,ROW()-1,60),ROW()-1,FALSE))</f>
        <v>254.05799999999999</v>
      </c>
      <c r="BH6">
        <f ca="1">IF(AND(ISNUMBER($BH$34),$B$28=1),$BH$34,HLOOKUP(INDIRECT(ADDRESS(2,COLUMN())),OFFSET($BN$2,0,0,ROW()-1,60),ROW()-1,FALSE))</f>
        <v>254.65</v>
      </c>
      <c r="BI6">
        <f ca="1">IF(AND(ISNUMBER($BI$34),$B$28=1),$BI$34,HLOOKUP(INDIRECT(ADDRESS(2,COLUMN())),OFFSET($BN$2,0,0,ROW()-1,60),ROW()-1,FALSE))</f>
        <v>185.631</v>
      </c>
      <c r="BJ6">
        <f ca="1">IF(AND(ISNUMBER($BJ$34),$B$28=1),$BJ$34,HLOOKUP(INDIRECT(ADDRESS(2,COLUMN())),OFFSET($BN$2,0,0,ROW()-1,60),ROW()-1,FALSE))</f>
        <v>238.29400000000001</v>
      </c>
      <c r="BK6">
        <f ca="1">IF(AND(ISNUMBER($BK$34),$B$28=1),$BK$34,HLOOKUP(INDIRECT(ADDRESS(2,COLUMN())),OFFSET($BN$2,0,0,ROW()-1,60),ROW()-1,FALSE))</f>
        <v>239.654</v>
      </c>
      <c r="BL6">
        <f ca="1">IF(AND(ISNUMBER($BL$34),$B$28=1),$BL$34,HLOOKUP(INDIRECT(ADDRESS(2,COLUMN())),OFFSET($BN$2,0,0,ROW()-1,60),ROW()-1,FALSE))</f>
        <v>215.02</v>
      </c>
      <c r="BM6">
        <f ca="1">IF(AND(ISNUMBER($BM$34),$B$28=1),$BM$34,HLOOKUP(INDIRECT(ADDRESS(2,COLUMN())),OFFSET($BN$2,0,0,ROW()-1,60),ROW()-1,FALSE))</f>
        <v>230.358</v>
      </c>
      <c r="BN6">
        <f>1406.089364</f>
        <v>1406.0893639999999</v>
      </c>
      <c r="BO6">
        <f>1349.176</f>
        <v>1349.1759999999999</v>
      </c>
      <c r="BP6">
        <f>1674.821</f>
        <v>1674.8209999999999</v>
      </c>
      <c r="BQ6">
        <f>1796.659</f>
        <v>1796.6590000000001</v>
      </c>
      <c r="BR6">
        <f>1724.052</f>
        <v>1724.0519999999999</v>
      </c>
      <c r="BS6">
        <f>1743.483</f>
        <v>1743.4829999999999</v>
      </c>
      <c r="BT6">
        <f>1829.711</f>
        <v>1829.711</v>
      </c>
      <c r="BU6">
        <f>1743.379</f>
        <v>1743.3789999999999</v>
      </c>
      <c r="BV6">
        <f>883.228</f>
        <v>883.22799999999995</v>
      </c>
      <c r="BW6">
        <f>1531.782</f>
        <v>1531.7819999999999</v>
      </c>
      <c r="BX6">
        <f>1469.591</f>
        <v>1469.5909999999999</v>
      </c>
      <c r="BY6">
        <f>1017.204</f>
        <v>1017.204</v>
      </c>
      <c r="BZ6">
        <f>1402.614</f>
        <v>1402.614</v>
      </c>
      <c r="CA6">
        <f>1440.933</f>
        <v>1440.933</v>
      </c>
      <c r="CB6">
        <f>1235.931</f>
        <v>1235.931</v>
      </c>
      <c r="CC6">
        <f>1286.212</f>
        <v>1286.212</v>
      </c>
      <c r="CD6">
        <f>1282.704</f>
        <v>1282.704</v>
      </c>
      <c r="CE6">
        <f>1204.814</f>
        <v>1204.8140000000001</v>
      </c>
      <c r="CF6">
        <f>1135.419</f>
        <v>1135.4190000000001</v>
      </c>
      <c r="CG6">
        <f>1076.135</f>
        <v>1076.135</v>
      </c>
      <c r="CH6">
        <f>1081.555</f>
        <v>1081.5550000000001</v>
      </c>
      <c r="CI6">
        <f>988.386</f>
        <v>988.38599999999997</v>
      </c>
      <c r="CJ6">
        <f>930.179</f>
        <v>930.17899999999997</v>
      </c>
      <c r="CK6">
        <f>868.347</f>
        <v>868.34699999999998</v>
      </c>
      <c r="CL6">
        <f>860.882</f>
        <v>860.88199999999995</v>
      </c>
      <c r="CM6">
        <f>872.304</f>
        <v>872.30399999999997</v>
      </c>
      <c r="CN6">
        <f>766.195</f>
        <v>766.19500000000005</v>
      </c>
      <c r="CO6">
        <f>582.329</f>
        <v>582.32899999999995</v>
      </c>
      <c r="CP6">
        <f>527.197</f>
        <v>527.197</v>
      </c>
      <c r="CQ6">
        <f>478.111</f>
        <v>478.11099999999999</v>
      </c>
      <c r="CR6">
        <f>562.58</f>
        <v>562.58000000000004</v>
      </c>
      <c r="CS6">
        <f>547.368</f>
        <v>547.36800000000005</v>
      </c>
      <c r="CT6">
        <f>519.842</f>
        <v>519.84199999999998</v>
      </c>
      <c r="CU6">
        <f>423.987</f>
        <v>423.98700000000002</v>
      </c>
      <c r="CV6">
        <f>563.449</f>
        <v>563.44899999999996</v>
      </c>
      <c r="CW6">
        <f>435.507</f>
        <v>435.50700000000001</v>
      </c>
      <c r="CX6">
        <f>492.397</f>
        <v>492.39699999999999</v>
      </c>
      <c r="CY6">
        <f>580.576</f>
        <v>580.57600000000002</v>
      </c>
      <c r="CZ6">
        <f>490.963</f>
        <v>490.96300000000002</v>
      </c>
      <c r="DA6">
        <f>488.295</f>
        <v>488.29500000000002</v>
      </c>
      <c r="DB6">
        <f>477.133</f>
        <v>477.13299999999998</v>
      </c>
      <c r="DC6">
        <f>474.232</f>
        <v>474.23200000000003</v>
      </c>
      <c r="DD6">
        <f>472.141</f>
        <v>472.14100000000002</v>
      </c>
      <c r="DE6">
        <f>416.49</f>
        <v>416.49</v>
      </c>
      <c r="DF6">
        <f>366.215</f>
        <v>366.21499999999997</v>
      </c>
      <c r="DG6">
        <f>348.408</f>
        <v>348.40800000000002</v>
      </c>
      <c r="DH6">
        <f>346.701</f>
        <v>346.70100000000002</v>
      </c>
      <c r="DI6">
        <f>330.316</f>
        <v>330.31599999999997</v>
      </c>
      <c r="DJ6">
        <f>324.9295</f>
        <v>324.92950000000002</v>
      </c>
      <c r="DK6">
        <f>302.508</f>
        <v>302.50799999999998</v>
      </c>
      <c r="DL6">
        <f>260.909</f>
        <v>260.90899999999999</v>
      </c>
      <c r="DM6">
        <f>285.552</f>
        <v>285.55200000000002</v>
      </c>
      <c r="DN6">
        <f>280.51</f>
        <v>280.51</v>
      </c>
      <c r="DO6">
        <f>254.058</f>
        <v>254.05799999999999</v>
      </c>
      <c r="DP6">
        <f>254.65</f>
        <v>254.65</v>
      </c>
      <c r="DQ6">
        <f>185.631</f>
        <v>185.631</v>
      </c>
      <c r="DR6">
        <f>238.294</f>
        <v>238.29400000000001</v>
      </c>
      <c r="DS6">
        <f>239.654</f>
        <v>239.654</v>
      </c>
      <c r="DT6">
        <f>215.02</f>
        <v>215.02</v>
      </c>
      <c r="DU6">
        <f>230.358</f>
        <v>230.358</v>
      </c>
    </row>
    <row r="7" spans="1:125">
      <c r="A7" t="str">
        <f>"    医疗保健房地产投资信托净营业利润总额"</f>
        <v xml:space="preserve">    医疗保健房地产投资信托净营业利润总额</v>
      </c>
      <c r="B7" t="str">
        <f>"RECFNOHC Index"</f>
        <v>RECFNOHC Index</v>
      </c>
      <c r="C7" t="str">
        <f>"PR005"</f>
        <v>PR005</v>
      </c>
      <c r="D7" t="str">
        <f>"PX_LAST"</f>
        <v>PX_LAST</v>
      </c>
      <c r="E7" t="str">
        <f>"动态"</f>
        <v>动态</v>
      </c>
      <c r="F7">
        <f ca="1">IF(AND(ISNUMBER($F$35),$B$28=1),$F$35,HLOOKUP(INDIRECT(ADDRESS(2,COLUMN())),OFFSET($BN$2,0,0,ROW()-1,60),ROW()-1,FALSE))</f>
        <v>2452.5352290000001</v>
      </c>
      <c r="G7">
        <f ca="1">IF(AND(ISNUMBER($G$35),$B$28=1),$G$35,HLOOKUP(INDIRECT(ADDRESS(2,COLUMN())),OFFSET($BN$2,0,0,ROW()-1,60),ROW()-1,FALSE))</f>
        <v>2420.8919999999998</v>
      </c>
      <c r="H7">
        <f ca="1">IF(AND(ISNUMBER($H$35),$B$28=1),$H$35,HLOOKUP(INDIRECT(ADDRESS(2,COLUMN())),OFFSET($BN$2,0,0,ROW()-1,60),ROW()-1,FALSE))</f>
        <v>2437.7420000000002</v>
      </c>
      <c r="I7">
        <f ca="1">IF(AND(ISNUMBER($I$35),$B$28=1),$I$35,HLOOKUP(INDIRECT(ADDRESS(2,COLUMN())),OFFSET($BN$2,0,0,ROW()-1,60),ROW()-1,FALSE))</f>
        <v>2456.806</v>
      </c>
      <c r="J7">
        <f ca="1">IF(AND(ISNUMBER($J$35),$B$28=1),$J$35,HLOOKUP(INDIRECT(ADDRESS(2,COLUMN())),OFFSET($BN$2,0,0,ROW()-1,60),ROW()-1,FALSE))</f>
        <v>2480.453</v>
      </c>
      <c r="K7">
        <f ca="1">IF(AND(ISNUMBER($K$35),$B$28=1),$K$35,HLOOKUP(INDIRECT(ADDRESS(2,COLUMN())),OFFSET($BN$2,0,0,ROW()-1,60),ROW()-1,FALSE))</f>
        <v>2345.9110000000001</v>
      </c>
      <c r="L7">
        <f ca="1">IF(AND(ISNUMBER($L$35),$B$28=1),$L$35,HLOOKUP(INDIRECT(ADDRESS(2,COLUMN())),OFFSET($BN$2,0,0,ROW()-1,60),ROW()-1,FALSE))</f>
        <v>2311.6889999999999</v>
      </c>
      <c r="M7">
        <f ca="1">IF(AND(ISNUMBER($M$35),$B$28=1),$M$35,HLOOKUP(INDIRECT(ADDRESS(2,COLUMN())),OFFSET($BN$2,0,0,ROW()-1,60),ROW()-1,FALSE))</f>
        <v>2262.2959999999998</v>
      </c>
      <c r="N7">
        <f ca="1">IF(AND(ISNUMBER($N$35),$B$28=1),$N$35,HLOOKUP(INDIRECT(ADDRESS(2,COLUMN())),OFFSET($BN$2,0,0,ROW()-1,60),ROW()-1,FALSE))</f>
        <v>2231.431</v>
      </c>
      <c r="O7">
        <f ca="1">IF(AND(ISNUMBER($O$35),$B$28=1),$O$35,HLOOKUP(INDIRECT(ADDRESS(2,COLUMN())),OFFSET($BN$2,0,0,ROW()-1,60),ROW()-1,FALSE))</f>
        <v>2164.0880000000002</v>
      </c>
      <c r="P7">
        <f ca="1">IF(AND(ISNUMBER($P$35),$B$28=1),$P$35,HLOOKUP(INDIRECT(ADDRESS(2,COLUMN())),OFFSET($BN$2,0,0,ROW()-1,60),ROW()-1,FALSE))</f>
        <v>1983.317</v>
      </c>
      <c r="Q7">
        <f ca="1">IF(AND(ISNUMBER($Q$35),$B$28=1),$Q$35,HLOOKUP(INDIRECT(ADDRESS(2,COLUMN())),OFFSET($BN$2,0,0,ROW()-1,60),ROW()-1,FALSE))</f>
        <v>1906.8009999999999</v>
      </c>
      <c r="R7">
        <f ca="1">IF(AND(ISNUMBER($R$35),$B$28=1),$R$35,HLOOKUP(INDIRECT(ADDRESS(2,COLUMN())),OFFSET($BN$2,0,0,ROW()-1,60),ROW()-1,FALSE))</f>
        <v>1839.94</v>
      </c>
      <c r="S7">
        <f ca="1">IF(AND(ISNUMBER($S$35),$B$28=1),$S$35,HLOOKUP(INDIRECT(ADDRESS(2,COLUMN())),OFFSET($BN$2,0,0,ROW()-1,60),ROW()-1,FALSE))</f>
        <v>1798.2940000000001</v>
      </c>
      <c r="T7">
        <f ca="1">IF(AND(ISNUMBER($T$35),$B$28=1),$T$35,HLOOKUP(INDIRECT(ADDRESS(2,COLUMN())),OFFSET($BN$2,0,0,ROW()-1,60),ROW()-1,FALSE))</f>
        <v>1784.63</v>
      </c>
      <c r="U7">
        <f ca="1">IF(AND(ISNUMBER($U$35),$B$28=1),$U$35,HLOOKUP(INDIRECT(ADDRESS(2,COLUMN())),OFFSET($BN$2,0,0,ROW()-1,60),ROW()-1,FALSE))</f>
        <v>1692.3979999999999</v>
      </c>
      <c r="V7">
        <f ca="1">IF(AND(ISNUMBER($V$35),$B$28=1),$V$35,HLOOKUP(INDIRECT(ADDRESS(2,COLUMN())),OFFSET($BN$2,0,0,ROW()-1,60),ROW()-1,FALSE))</f>
        <v>1659.6569999999999</v>
      </c>
      <c r="W7">
        <f ca="1">IF(AND(ISNUMBER($W$35),$B$28=1),$W$35,HLOOKUP(INDIRECT(ADDRESS(2,COLUMN())),OFFSET($BN$2,0,0,ROW()-1,60),ROW()-1,FALSE))</f>
        <v>1529.13</v>
      </c>
      <c r="X7">
        <f ca="1">IF(AND(ISNUMBER($X$35),$B$28=1),$X$35,HLOOKUP(INDIRECT(ADDRESS(2,COLUMN())),OFFSET($BN$2,0,0,ROW()-1,60),ROW()-1,FALSE))</f>
        <v>1474.711</v>
      </c>
      <c r="Y7">
        <f ca="1">IF(AND(ISNUMBER($Y$35),$B$28=1),$Y$35,HLOOKUP(INDIRECT(ADDRESS(2,COLUMN())),OFFSET($BN$2,0,0,ROW()-1,60),ROW()-1,FALSE))</f>
        <v>1459.452</v>
      </c>
      <c r="Z7">
        <f ca="1">IF(AND(ISNUMBER($Z$35),$B$28=1),$Z$35,HLOOKUP(INDIRECT(ADDRESS(2,COLUMN())),OFFSET($BN$2,0,0,ROW()-1,60),ROW()-1,FALSE))</f>
        <v>1341.84</v>
      </c>
      <c r="AA7">
        <f ca="1">IF(AND(ISNUMBER($AA$35),$B$28=1),$AA$35,HLOOKUP(INDIRECT(ADDRESS(2,COLUMN())),OFFSET($BN$2,0,0,ROW()-1,60),ROW()-1,FALSE))</f>
        <v>1283.6769999999999</v>
      </c>
      <c r="AB7">
        <f ca="1">IF(AND(ISNUMBER($AB$35),$B$28=1),$AB$35,HLOOKUP(INDIRECT(ADDRESS(2,COLUMN())),OFFSET($BN$2,0,0,ROW()-1,60),ROW()-1,FALSE))</f>
        <v>1248.443</v>
      </c>
      <c r="AC7">
        <f ca="1">IF(AND(ISNUMBER($AC$35),$B$28=1),$AC$35,HLOOKUP(INDIRECT(ADDRESS(2,COLUMN())),OFFSET($BN$2,0,0,ROW()-1,60),ROW()-1,FALSE))</f>
        <v>1214.9659999999999</v>
      </c>
      <c r="AD7">
        <f ca="1">IF(AND(ISNUMBER($AD$35),$B$28=1),$AD$35,HLOOKUP(INDIRECT(ADDRESS(2,COLUMN())),OFFSET($BN$2,0,0,ROW()-1,60),ROW()-1,FALSE))</f>
        <v>1208.5899999999999</v>
      </c>
      <c r="AE7">
        <f ca="1">IF(AND(ISNUMBER($AE$35),$B$28=1),$AE$35,HLOOKUP(INDIRECT(ADDRESS(2,COLUMN())),OFFSET($BN$2,0,0,ROW()-1,60),ROW()-1,FALSE))</f>
        <v>1164.576</v>
      </c>
      <c r="AF7">
        <f ca="1">IF(AND(ISNUMBER($AF$35),$B$28=1),$AF$35,HLOOKUP(INDIRECT(ADDRESS(2,COLUMN())),OFFSET($BN$2,0,0,ROW()-1,60),ROW()-1,FALSE))</f>
        <v>1012.5650000000001</v>
      </c>
      <c r="AG7">
        <f ca="1">IF(AND(ISNUMBER($AG$35),$B$28=1),$AG$35,HLOOKUP(INDIRECT(ADDRESS(2,COLUMN())),OFFSET($BN$2,0,0,ROW()-1,60),ROW()-1,FALSE))</f>
        <v>986.35500000000002</v>
      </c>
      <c r="AH7">
        <f ca="1">IF(AND(ISNUMBER($AH$35),$B$28=1),$AH$35,HLOOKUP(INDIRECT(ADDRESS(2,COLUMN())),OFFSET($BN$2,0,0,ROW()-1,60),ROW()-1,FALSE))</f>
        <v>925.22799999999995</v>
      </c>
      <c r="AI7">
        <f ca="1">IF(AND(ISNUMBER($AI$35),$B$28=1),$AI$35,HLOOKUP(INDIRECT(ADDRESS(2,COLUMN())),OFFSET($BN$2,0,0,ROW()-1,60),ROW()-1,FALSE))</f>
        <v>870.93</v>
      </c>
      <c r="AJ7">
        <f ca="1">IF(AND(ISNUMBER($AJ$35),$B$28=1),$AJ$35,HLOOKUP(INDIRECT(ADDRESS(2,COLUMN())),OFFSET($BN$2,0,0,ROW()-1,60),ROW()-1,FALSE))</f>
        <v>852.81100000000004</v>
      </c>
      <c r="AK7">
        <f ca="1">IF(AND(ISNUMBER($AK$35),$B$28=1),$AK$35,HLOOKUP(INDIRECT(ADDRESS(2,COLUMN())),OFFSET($BN$2,0,0,ROW()-1,60),ROW()-1,FALSE))</f>
        <v>827.90099999999995</v>
      </c>
      <c r="AL7">
        <f ca="1">IF(AND(ISNUMBER($AL$35),$B$28=1),$AL$35,HLOOKUP(INDIRECT(ADDRESS(2,COLUMN())),OFFSET($BN$2,0,0,ROW()-1,60),ROW()-1,FALSE))</f>
        <v>804.58900000000006</v>
      </c>
      <c r="AM7">
        <f ca="1">IF(AND(ISNUMBER($AM$35),$B$28=1),$AM$35,HLOOKUP(INDIRECT(ADDRESS(2,COLUMN())),OFFSET($BN$2,0,0,ROW()-1,60),ROW()-1,FALSE))</f>
        <v>788.21</v>
      </c>
      <c r="AN7">
        <f ca="1">IF(AND(ISNUMBER($AN$35),$B$28=1),$AN$35,HLOOKUP(INDIRECT(ADDRESS(2,COLUMN())),OFFSET($BN$2,0,0,ROW()-1,60),ROW()-1,FALSE))</f>
        <v>788.01400000000001</v>
      </c>
      <c r="AO7">
        <f ca="1">IF(AND(ISNUMBER($AO$35),$B$28=1),$AO$35,HLOOKUP(INDIRECT(ADDRESS(2,COLUMN())),OFFSET($BN$2,0,0,ROW()-1,60),ROW()-1,FALSE))</f>
        <v>771.75400000000002</v>
      </c>
      <c r="AP7">
        <f ca="1">IF(AND(ISNUMBER($AP$35),$B$28=1),$AP$35,HLOOKUP(INDIRECT(ADDRESS(2,COLUMN())),OFFSET($BN$2,0,0,ROW()-1,60),ROW()-1,FALSE))</f>
        <v>764.48099999999999</v>
      </c>
      <c r="AQ7">
        <f ca="1">IF(AND(ISNUMBER($AQ$35),$B$28=1),$AQ$35,HLOOKUP(INDIRECT(ADDRESS(2,COLUMN())),OFFSET($BN$2,0,0,ROW()-1,60),ROW()-1,FALSE))</f>
        <v>760.31700000000001</v>
      </c>
      <c r="AR7">
        <f ca="1">IF(AND(ISNUMBER($AR$35),$B$28=1),$AR$35,HLOOKUP(INDIRECT(ADDRESS(2,COLUMN())),OFFSET($BN$2,0,0,ROW()-1,60),ROW()-1,FALSE))</f>
        <v>738.90499999999997</v>
      </c>
      <c r="AS7">
        <f ca="1">IF(AND(ISNUMBER($AS$35),$B$28=1),$AS$35,HLOOKUP(INDIRECT(ADDRESS(2,COLUMN())),OFFSET($BN$2,0,0,ROW()-1,60),ROW()-1,FALSE))</f>
        <v>703.17100000000005</v>
      </c>
      <c r="AT7">
        <f ca="1">IF(AND(ISNUMBER($AT$35),$B$28=1),$AT$35,HLOOKUP(INDIRECT(ADDRESS(2,COLUMN())),OFFSET($BN$2,0,0,ROW()-1,60),ROW()-1,FALSE))</f>
        <v>713.93949999999995</v>
      </c>
      <c r="AU7">
        <f ca="1">IF(AND(ISNUMBER($AU$35),$B$28=1),$AU$35,HLOOKUP(INDIRECT(ADDRESS(2,COLUMN())),OFFSET($BN$2,0,0,ROW()-1,60),ROW()-1,FALSE))</f>
        <v>704.05100000000004</v>
      </c>
      <c r="AV7">
        <f ca="1">IF(AND(ISNUMBER($AV$35),$B$28=1),$AV$35,HLOOKUP(INDIRECT(ADDRESS(2,COLUMN())),OFFSET($BN$2,0,0,ROW()-1,60),ROW()-1,FALSE))</f>
        <v>655.35</v>
      </c>
      <c r="AW7">
        <f ca="1">IF(AND(ISNUMBER($AW$35),$B$28=1),$AW$35,HLOOKUP(INDIRECT(ADDRESS(2,COLUMN())),OFFSET($BN$2,0,0,ROW()-1,60),ROW()-1,FALSE))</f>
        <v>641.15700000000004</v>
      </c>
      <c r="AX7">
        <f ca="1">IF(AND(ISNUMBER($AX$35),$B$28=1),$AX$35,HLOOKUP(INDIRECT(ADDRESS(2,COLUMN())),OFFSET($BN$2,0,0,ROW()-1,60),ROW()-1,FALSE))</f>
        <v>620.62</v>
      </c>
      <c r="AY7">
        <f ca="1">IF(AND(ISNUMBER($AY$35),$B$28=1),$AY$35,HLOOKUP(INDIRECT(ADDRESS(2,COLUMN())),OFFSET($BN$2,0,0,ROW()-1,60),ROW()-1,FALSE))</f>
        <v>540.54999999999995</v>
      </c>
      <c r="AZ7">
        <f ca="1">IF(AND(ISNUMBER($AZ$35),$B$28=1),$AZ$35,HLOOKUP(INDIRECT(ADDRESS(2,COLUMN())),OFFSET($BN$2,0,0,ROW()-1,60),ROW()-1,FALSE))</f>
        <v>520.47199999999998</v>
      </c>
      <c r="BA7">
        <f ca="1">IF(AND(ISNUMBER($BA$35),$B$28=1),$BA$35,HLOOKUP(INDIRECT(ADDRESS(2,COLUMN())),OFFSET($BN$2,0,0,ROW()-1,60),ROW()-1,FALSE))</f>
        <v>500.60899999999998</v>
      </c>
      <c r="BB7">
        <f ca="1">IF(AND(ISNUMBER($BB$35),$B$28=1),$BB$35,HLOOKUP(INDIRECT(ADDRESS(2,COLUMN())),OFFSET($BN$2,0,0,ROW()-1,60),ROW()-1,FALSE))</f>
        <v>483.084</v>
      </c>
      <c r="BC7">
        <f ca="1">IF(AND(ISNUMBER($BC$35),$B$28=1),$BC$35,HLOOKUP(INDIRECT(ADDRESS(2,COLUMN())),OFFSET($BN$2,0,0,ROW()-1,60),ROW()-1,FALSE))</f>
        <v>465.08100000000002</v>
      </c>
      <c r="BD7">
        <f ca="1">IF(AND(ISNUMBER($BD$35),$B$28=1),$BD$35,HLOOKUP(INDIRECT(ADDRESS(2,COLUMN())),OFFSET($BN$2,0,0,ROW()-1,60),ROW()-1,FALSE))</f>
        <v>418.21</v>
      </c>
      <c r="BE7">
        <f ca="1">IF(AND(ISNUMBER($BE$35),$B$28=1),$BE$35,HLOOKUP(INDIRECT(ADDRESS(2,COLUMN())),OFFSET($BN$2,0,0,ROW()-1,60),ROW()-1,FALSE))</f>
        <v>402.01299999999998</v>
      </c>
      <c r="BF7">
        <f ca="1">IF(AND(ISNUMBER($BF$35),$B$28=1),$BF$35,HLOOKUP(INDIRECT(ADDRESS(2,COLUMN())),OFFSET($BN$2,0,0,ROW()-1,60),ROW()-1,FALSE))</f>
        <v>406.23050000000001</v>
      </c>
      <c r="BG7">
        <f ca="1">IF(AND(ISNUMBER($BG$35),$B$28=1),$BG$35,HLOOKUP(INDIRECT(ADDRESS(2,COLUMN())),OFFSET($BN$2,0,0,ROW()-1,60),ROW()-1,FALSE))</f>
        <v>388.26100000000002</v>
      </c>
      <c r="BH7">
        <f ca="1">IF(AND(ISNUMBER($BH$35),$B$28=1),$BH$35,HLOOKUP(INDIRECT(ADDRESS(2,COLUMN())),OFFSET($BN$2,0,0,ROW()-1,60),ROW()-1,FALSE))</f>
        <v>373.084</v>
      </c>
      <c r="BI7">
        <f ca="1">IF(AND(ISNUMBER($BI$35),$B$28=1),$BI$35,HLOOKUP(INDIRECT(ADDRESS(2,COLUMN())),OFFSET($BN$2,0,0,ROW()-1,60),ROW()-1,FALSE))</f>
        <v>353.18799999999999</v>
      </c>
      <c r="BJ7">
        <f ca="1">IF(AND(ISNUMBER($BJ$35),$B$28=1),$BJ$35,HLOOKUP(INDIRECT(ADDRESS(2,COLUMN())),OFFSET($BN$2,0,0,ROW()-1,60),ROW()-1,FALSE))</f>
        <v>349.80349999999999</v>
      </c>
      <c r="BK7">
        <f ca="1">IF(AND(ISNUMBER($BK$35),$B$28=1),$BK$35,HLOOKUP(INDIRECT(ADDRESS(2,COLUMN())),OFFSET($BN$2,0,0,ROW()-1,60),ROW()-1,FALSE))</f>
        <v>340.59199999999998</v>
      </c>
      <c r="BL7">
        <f ca="1">IF(AND(ISNUMBER($BL$35),$B$28=1),$BL$35,HLOOKUP(INDIRECT(ADDRESS(2,COLUMN())),OFFSET($BN$2,0,0,ROW()-1,60),ROW()-1,FALSE))</f>
        <v>332.98399999999998</v>
      </c>
      <c r="BM7">
        <f ca="1">IF(AND(ISNUMBER($BM$35),$B$28=1),$BM$35,HLOOKUP(INDIRECT(ADDRESS(2,COLUMN())),OFFSET($BN$2,0,0,ROW()-1,60),ROW()-1,FALSE))</f>
        <v>317.61099999999999</v>
      </c>
      <c r="BN7">
        <f>2452.535229</f>
        <v>2452.5352290000001</v>
      </c>
      <c r="BO7">
        <f>2420.892</f>
        <v>2420.8919999999998</v>
      </c>
      <c r="BP7">
        <f>2437.742</f>
        <v>2437.7420000000002</v>
      </c>
      <c r="BQ7">
        <f>2456.806</f>
        <v>2456.806</v>
      </c>
      <c r="BR7">
        <f>2480.453</f>
        <v>2480.453</v>
      </c>
      <c r="BS7">
        <f>2345.911</f>
        <v>2345.9110000000001</v>
      </c>
      <c r="BT7">
        <f>2311.689</f>
        <v>2311.6889999999999</v>
      </c>
      <c r="BU7">
        <f>2262.296</f>
        <v>2262.2959999999998</v>
      </c>
      <c r="BV7">
        <f>2231.431</f>
        <v>2231.431</v>
      </c>
      <c r="BW7">
        <f>2164.088</f>
        <v>2164.0880000000002</v>
      </c>
      <c r="BX7">
        <f>1983.317</f>
        <v>1983.317</v>
      </c>
      <c r="BY7">
        <f>1906.801</f>
        <v>1906.8009999999999</v>
      </c>
      <c r="BZ7">
        <f>1839.94</f>
        <v>1839.94</v>
      </c>
      <c r="CA7">
        <f>1798.294</f>
        <v>1798.2940000000001</v>
      </c>
      <c r="CB7">
        <f>1784.63</f>
        <v>1784.63</v>
      </c>
      <c r="CC7">
        <f>1692.398</f>
        <v>1692.3979999999999</v>
      </c>
      <c r="CD7">
        <f>1659.657</f>
        <v>1659.6569999999999</v>
      </c>
      <c r="CE7">
        <f>1529.13</f>
        <v>1529.13</v>
      </c>
      <c r="CF7">
        <f>1474.711</f>
        <v>1474.711</v>
      </c>
      <c r="CG7">
        <f>1459.452</f>
        <v>1459.452</v>
      </c>
      <c r="CH7">
        <f>1341.84</f>
        <v>1341.84</v>
      </c>
      <c r="CI7">
        <f>1283.677</f>
        <v>1283.6769999999999</v>
      </c>
      <c r="CJ7">
        <f>1248.443</f>
        <v>1248.443</v>
      </c>
      <c r="CK7">
        <f>1214.966</f>
        <v>1214.9659999999999</v>
      </c>
      <c r="CL7">
        <f>1208.59</f>
        <v>1208.5899999999999</v>
      </c>
      <c r="CM7">
        <f>1164.576</f>
        <v>1164.576</v>
      </c>
      <c r="CN7">
        <f>1012.565</f>
        <v>1012.5650000000001</v>
      </c>
      <c r="CO7">
        <f>986.355</f>
        <v>986.35500000000002</v>
      </c>
      <c r="CP7">
        <f>925.228</f>
        <v>925.22799999999995</v>
      </c>
      <c r="CQ7">
        <f>870.93</f>
        <v>870.93</v>
      </c>
      <c r="CR7">
        <f>852.811</f>
        <v>852.81100000000004</v>
      </c>
      <c r="CS7">
        <f>827.901</f>
        <v>827.90099999999995</v>
      </c>
      <c r="CT7">
        <f>804.589</f>
        <v>804.58900000000006</v>
      </c>
      <c r="CU7">
        <f>788.21</f>
        <v>788.21</v>
      </c>
      <c r="CV7">
        <f>788.014</f>
        <v>788.01400000000001</v>
      </c>
      <c r="CW7">
        <f>771.754</f>
        <v>771.75400000000002</v>
      </c>
      <c r="CX7">
        <f>764.481</f>
        <v>764.48099999999999</v>
      </c>
      <c r="CY7">
        <f>760.317</f>
        <v>760.31700000000001</v>
      </c>
      <c r="CZ7">
        <f>738.905</f>
        <v>738.90499999999997</v>
      </c>
      <c r="DA7">
        <f>703.171</f>
        <v>703.17100000000005</v>
      </c>
      <c r="DB7">
        <f>713.9395</f>
        <v>713.93949999999995</v>
      </c>
      <c r="DC7">
        <f>704.051</f>
        <v>704.05100000000004</v>
      </c>
      <c r="DD7">
        <f>655.35</f>
        <v>655.35</v>
      </c>
      <c r="DE7">
        <f>641.157</f>
        <v>641.15700000000004</v>
      </c>
      <c r="DF7">
        <f>620.62</f>
        <v>620.62</v>
      </c>
      <c r="DG7">
        <f>540.55</f>
        <v>540.54999999999995</v>
      </c>
      <c r="DH7">
        <f>520.472</f>
        <v>520.47199999999998</v>
      </c>
      <c r="DI7">
        <f>500.609</f>
        <v>500.60899999999998</v>
      </c>
      <c r="DJ7">
        <f>483.084</f>
        <v>483.084</v>
      </c>
      <c r="DK7">
        <f>465.081</f>
        <v>465.08100000000002</v>
      </c>
      <c r="DL7">
        <f>418.21</f>
        <v>418.21</v>
      </c>
      <c r="DM7">
        <f>402.013</f>
        <v>402.01299999999998</v>
      </c>
      <c r="DN7">
        <f>406.2305</f>
        <v>406.23050000000001</v>
      </c>
      <c r="DO7">
        <f>388.261</f>
        <v>388.26100000000002</v>
      </c>
      <c r="DP7">
        <f>373.084</f>
        <v>373.084</v>
      </c>
      <c r="DQ7">
        <f>353.188</f>
        <v>353.18799999999999</v>
      </c>
      <c r="DR7">
        <f>349.8035</f>
        <v>349.80349999999999</v>
      </c>
      <c r="DS7">
        <f>340.592</f>
        <v>340.59199999999998</v>
      </c>
      <c r="DT7">
        <f>332.984</f>
        <v>332.98399999999998</v>
      </c>
      <c r="DU7">
        <f>317.611</f>
        <v>317.61099999999999</v>
      </c>
    </row>
    <row r="8" spans="1:125">
      <c r="A8" t="str">
        <f>"    医疗保健房地产投资信托总股利支付"</f>
        <v xml:space="preserve">    医疗保健房地产投资信托总股利支付</v>
      </c>
      <c r="B8" t="str">
        <f>"RECFTDHC Index"</f>
        <v>RECFTDHC Index</v>
      </c>
      <c r="C8" t="str">
        <f>"PR005"</f>
        <v>PR005</v>
      </c>
      <c r="D8" t="str">
        <f>"PX_LAST"</f>
        <v>PX_LAST</v>
      </c>
      <c r="E8" t="str">
        <f>"动态"</f>
        <v>动态</v>
      </c>
      <c r="F8">
        <f ca="1">IF(AND(ISNUMBER($F$36),$B$28=1),$F$36,HLOOKUP(INDIRECT(ADDRESS(2,COLUMN())),OFFSET($BN$2,0,0,ROW()-1,60),ROW()-1,FALSE))</f>
        <v>1228.3517750000001</v>
      </c>
      <c r="G8">
        <f ca="1">IF(AND(ISNUMBER($G$36),$B$28=1),$G$36,HLOOKUP(INDIRECT(ADDRESS(2,COLUMN())),OFFSET($BN$2,0,0,ROW()-1,60),ROW()-1,FALSE))</f>
        <v>1422.9690000000001</v>
      </c>
      <c r="H8">
        <f ca="1">IF(AND(ISNUMBER($H$36),$B$28=1),$H$36,HLOOKUP(INDIRECT(ADDRESS(2,COLUMN())),OFFSET($BN$2,0,0,ROW()-1,60),ROW()-1,FALSE))</f>
        <v>1440.0360000000001</v>
      </c>
      <c r="I8">
        <f ca="1">IF(AND(ISNUMBER($I$36),$B$28=1),$I$36,HLOOKUP(INDIRECT(ADDRESS(2,COLUMN())),OFFSET($BN$2,0,0,ROW()-1,60),ROW()-1,FALSE))</f>
        <v>1464.155</v>
      </c>
      <c r="J8">
        <f ca="1">IF(AND(ISNUMBER($J$36),$B$28=1),$J$36,HLOOKUP(INDIRECT(ADDRESS(2,COLUMN())),OFFSET($BN$2,0,0,ROW()-1,60),ROW()-1,FALSE))</f>
        <v>1370.623</v>
      </c>
      <c r="K8">
        <f ca="1">IF(AND(ISNUMBER($K$36),$B$28=1),$K$36,HLOOKUP(INDIRECT(ADDRESS(2,COLUMN())),OFFSET($BN$2,0,0,ROW()-1,60),ROW()-1,FALSE))</f>
        <v>1581.662</v>
      </c>
      <c r="L8">
        <f ca="1">IF(AND(ISNUMBER($L$36),$B$28=1),$L$36,HLOOKUP(INDIRECT(ADDRESS(2,COLUMN())),OFFSET($BN$2,0,0,ROW()-1,60),ROW()-1,FALSE))</f>
        <v>1475.89</v>
      </c>
      <c r="M8">
        <f ca="1">IF(AND(ISNUMBER($M$36),$B$28=1),$M$36,HLOOKUP(INDIRECT(ADDRESS(2,COLUMN())),OFFSET($BN$2,0,0,ROW()-1,60),ROW()-1,FALSE))</f>
        <v>1459.078</v>
      </c>
      <c r="N8">
        <f ca="1">IF(AND(ISNUMBER($N$36),$B$28=1),$N$36,HLOOKUP(INDIRECT(ADDRESS(2,COLUMN())),OFFSET($BN$2,0,0,ROW()-1,60),ROW()-1,FALSE))</f>
        <v>1370.3889999999999</v>
      </c>
      <c r="O8">
        <f ca="1">IF(AND(ISNUMBER($O$36),$B$28=1),$O$36,HLOOKUP(INDIRECT(ADDRESS(2,COLUMN())),OFFSET($BN$2,0,0,ROW()-1,60),ROW()-1,FALSE))</f>
        <v>2604.002</v>
      </c>
      <c r="P8">
        <f ca="1">IF(AND(ISNUMBER($P$36),$B$28=1),$P$36,HLOOKUP(INDIRECT(ADDRESS(2,COLUMN())),OFFSET($BN$2,0,0,ROW()-1,60),ROW()-1,FALSE))</f>
        <v>1271.2</v>
      </c>
      <c r="Q8">
        <f ca="1">IF(AND(ISNUMBER($Q$36),$B$28=1),$Q$36,HLOOKUP(INDIRECT(ADDRESS(2,COLUMN())),OFFSET($BN$2,0,0,ROW()-1,60),ROW()-1,FALSE))</f>
        <v>1217.393</v>
      </c>
      <c r="R8">
        <f ca="1">IF(AND(ISNUMBER($R$36),$B$28=1),$R$36,HLOOKUP(INDIRECT(ADDRESS(2,COLUMN())),OFFSET($BN$2,0,0,ROW()-1,60),ROW()-1,FALSE))</f>
        <v>1315.288</v>
      </c>
      <c r="S8">
        <f ca="1">IF(AND(ISNUMBER($S$36),$B$28=1),$S$36,HLOOKUP(INDIRECT(ADDRESS(2,COLUMN())),OFFSET($BN$2,0,0,ROW()-1,60),ROW()-1,FALSE))</f>
        <v>1129.3430000000001</v>
      </c>
      <c r="T8">
        <f ca="1">IF(AND(ISNUMBER($T$36),$B$28=1),$T$36,HLOOKUP(INDIRECT(ADDRESS(2,COLUMN())),OFFSET($BN$2,0,0,ROW()-1,60),ROW()-1,FALSE))</f>
        <v>1095.135</v>
      </c>
      <c r="U8">
        <f ca="1">IF(AND(ISNUMBER($U$36),$B$28=1),$U$36,HLOOKUP(INDIRECT(ADDRESS(2,COLUMN())),OFFSET($BN$2,0,0,ROW()-1,60),ROW()-1,FALSE))</f>
        <v>1056.519</v>
      </c>
      <c r="V8">
        <f ca="1">IF(AND(ISNUMBER($V$36),$B$28=1),$V$36,HLOOKUP(INDIRECT(ADDRESS(2,COLUMN())),OFFSET($BN$2,0,0,ROW()-1,60),ROW()-1,FALSE))</f>
        <v>1014.44</v>
      </c>
      <c r="W8">
        <f ca="1">IF(AND(ISNUMBER($W$36),$B$28=1),$W$36,HLOOKUP(INDIRECT(ADDRESS(2,COLUMN())),OFFSET($BN$2,0,0,ROW()-1,60),ROW()-1,FALSE))</f>
        <v>964.14</v>
      </c>
      <c r="X8">
        <f ca="1">IF(AND(ISNUMBER($X$36),$B$28=1),$X$36,HLOOKUP(INDIRECT(ADDRESS(2,COLUMN())),OFFSET($BN$2,0,0,ROW()-1,60),ROW()-1,FALSE))</f>
        <v>933.06</v>
      </c>
      <c r="Y8">
        <f ca="1">IF(AND(ISNUMBER($Y$36),$B$28=1),$Y$36,HLOOKUP(INDIRECT(ADDRESS(2,COLUMN())),OFFSET($BN$2,0,0,ROW()-1,60),ROW()-1,FALSE))</f>
        <v>930.03200000000004</v>
      </c>
      <c r="Z8">
        <f ca="1">IF(AND(ISNUMBER($Z$36),$B$28=1),$Z$36,HLOOKUP(INDIRECT(ADDRESS(2,COLUMN())),OFFSET($BN$2,0,0,ROW()-1,60),ROW()-1,FALSE))</f>
        <v>870.87300000000005</v>
      </c>
      <c r="AA8">
        <f ca="1">IF(AND(ISNUMBER($AA$36),$B$28=1),$AA$36,HLOOKUP(INDIRECT(ADDRESS(2,COLUMN())),OFFSET($BN$2,0,0,ROW()-1,60),ROW()-1,FALSE))</f>
        <v>808.68200000000002</v>
      </c>
      <c r="AB8">
        <f ca="1">IF(AND(ISNUMBER($AB$36),$B$28=1),$AB$36,HLOOKUP(INDIRECT(ADDRESS(2,COLUMN())),OFFSET($BN$2,0,0,ROW()-1,60),ROW()-1,FALSE))</f>
        <v>794.529</v>
      </c>
      <c r="AC8">
        <f ca="1">IF(AND(ISNUMBER($AC$36),$B$28=1),$AC$36,HLOOKUP(INDIRECT(ADDRESS(2,COLUMN())),OFFSET($BN$2,0,0,ROW()-1,60),ROW()-1,FALSE))</f>
        <v>773.51499999999999</v>
      </c>
      <c r="AD8">
        <f ca="1">IF(AND(ISNUMBER($AD$36),$B$28=1),$AD$36,HLOOKUP(INDIRECT(ADDRESS(2,COLUMN())),OFFSET($BN$2,0,0,ROW()-1,60),ROW()-1,FALSE))</f>
        <v>735.16700000000003</v>
      </c>
      <c r="AE8">
        <f ca="1">IF(AND(ISNUMBER($AE$36),$B$28=1),$AE$36,HLOOKUP(INDIRECT(ADDRESS(2,COLUMN())),OFFSET($BN$2,0,0,ROW()-1,60),ROW()-1,FALSE))</f>
        <v>714.14800000000002</v>
      </c>
      <c r="AF8">
        <f ca="1">IF(AND(ISNUMBER($AF$36),$B$28=1),$AF$36,HLOOKUP(INDIRECT(ADDRESS(2,COLUMN())),OFFSET($BN$2,0,0,ROW()-1,60),ROW()-1,FALSE))</f>
        <v>659.54100000000005</v>
      </c>
      <c r="AG8">
        <f ca="1">IF(AND(ISNUMBER($AG$36),$B$28=1),$AG$36,HLOOKUP(INDIRECT(ADDRESS(2,COLUMN())),OFFSET($BN$2,0,0,ROW()-1,60),ROW()-1,FALSE))</f>
        <v>642.13900000000001</v>
      </c>
      <c r="AH8">
        <f ca="1">IF(AND(ISNUMBER($AH$36),$B$28=1),$AH$36,HLOOKUP(INDIRECT(ADDRESS(2,COLUMN())),OFFSET($BN$2,0,0,ROW()-1,60),ROW()-1,FALSE))</f>
        <v>577.82399999999996</v>
      </c>
      <c r="AI8">
        <f ca="1">IF(AND(ISNUMBER($AI$36),$B$28=1),$AI$36,HLOOKUP(INDIRECT(ADDRESS(2,COLUMN())),OFFSET($BN$2,0,0,ROW()-1,60),ROW()-1,FALSE))</f>
        <v>559.15800000000002</v>
      </c>
      <c r="AJ8">
        <f ca="1">IF(AND(ISNUMBER($AJ$36),$B$28=1),$AJ$36,HLOOKUP(INDIRECT(ADDRESS(2,COLUMN())),OFFSET($BN$2,0,0,ROW()-1,60),ROW()-1,FALSE))</f>
        <v>533.08900000000006</v>
      </c>
      <c r="AK8">
        <f ca="1">IF(AND(ISNUMBER($AK$36),$B$28=1),$AK$36,HLOOKUP(INDIRECT(ADDRESS(2,COLUMN())),OFFSET($BN$2,0,0,ROW()-1,60),ROW()-1,FALSE))</f>
        <v>532.63699999999994</v>
      </c>
      <c r="AL8">
        <f ca="1">IF(AND(ISNUMBER($AL$36),$B$28=1),$AL$36,HLOOKUP(INDIRECT(ADDRESS(2,COLUMN())),OFFSET($BN$2,0,0,ROW()-1,60),ROW()-1,FALSE))</f>
        <v>521.96900000000005</v>
      </c>
      <c r="AM8">
        <f ca="1">IF(AND(ISNUMBER($AM$36),$B$28=1),$AM$36,HLOOKUP(INDIRECT(ADDRESS(2,COLUMN())),OFFSET($BN$2,0,0,ROW()-1,60),ROW()-1,FALSE))</f>
        <v>500.52800000000002</v>
      </c>
      <c r="AN8">
        <f ca="1">IF(AND(ISNUMBER($AN$36),$B$28=1),$AN$36,HLOOKUP(INDIRECT(ADDRESS(2,COLUMN())),OFFSET($BN$2,0,0,ROW()-1,60),ROW()-1,FALSE))</f>
        <v>489.798</v>
      </c>
      <c r="AO8">
        <f ca="1">IF(AND(ISNUMBER($AO$36),$B$28=1),$AO$36,HLOOKUP(INDIRECT(ADDRESS(2,COLUMN())),OFFSET($BN$2,0,0,ROW()-1,60),ROW()-1,FALSE))</f>
        <v>480.29700000000003</v>
      </c>
      <c r="AP8">
        <f ca="1">IF(AND(ISNUMBER($AP$36),$B$28=1),$AP$36,HLOOKUP(INDIRECT(ADDRESS(2,COLUMN())),OFFSET($BN$2,0,0,ROW()-1,60),ROW()-1,FALSE))</f>
        <v>489.45100000000002</v>
      </c>
      <c r="AQ8">
        <f ca="1">IF(AND(ISNUMBER($AQ$36),$B$28=1),$AQ$36,HLOOKUP(INDIRECT(ADDRESS(2,COLUMN())),OFFSET($BN$2,0,0,ROW()-1,60),ROW()-1,FALSE))</f>
        <v>478.40499999999997</v>
      </c>
      <c r="AR8">
        <f ca="1">IF(AND(ISNUMBER($AR$36),$B$28=1),$AR$36,HLOOKUP(INDIRECT(ADDRESS(2,COLUMN())),OFFSET($BN$2,0,0,ROW()-1,60),ROW()-1,FALSE))</f>
        <v>440.286</v>
      </c>
      <c r="AS8">
        <f ca="1">IF(AND(ISNUMBER($AS$36),$B$28=1),$AS$36,HLOOKUP(INDIRECT(ADDRESS(2,COLUMN())),OFFSET($BN$2,0,0,ROW()-1,60),ROW()-1,FALSE))</f>
        <v>441.69499999999999</v>
      </c>
      <c r="AT8">
        <f ca="1">IF(AND(ISNUMBER($AT$36),$B$28=1),$AT$36,HLOOKUP(INDIRECT(ADDRESS(2,COLUMN())),OFFSET($BN$2,0,0,ROW()-1,60),ROW()-1,FALSE))</f>
        <v>402.07299999999998</v>
      </c>
      <c r="AU8">
        <f ca="1">IF(AND(ISNUMBER($AU$36),$B$28=1),$AU$36,HLOOKUP(INDIRECT(ADDRESS(2,COLUMN())),OFFSET($BN$2,0,0,ROW()-1,60),ROW()-1,FALSE))</f>
        <v>389.69400000000002</v>
      </c>
      <c r="AV8">
        <f ca="1">IF(AND(ISNUMBER($AV$36),$B$28=1),$AV$36,HLOOKUP(INDIRECT(ADDRESS(2,COLUMN())),OFFSET($BN$2,0,0,ROW()-1,60),ROW()-1,FALSE))</f>
        <v>637.95100000000002</v>
      </c>
      <c r="AW8">
        <f ca="1">IF(AND(ISNUMBER($AW$36),$B$28=1),$AW$36,HLOOKUP(INDIRECT(ADDRESS(2,COLUMN())),OFFSET($BN$2,0,0,ROW()-1,60),ROW()-1,FALSE))</f>
        <v>400.22899999999998</v>
      </c>
      <c r="AX8">
        <f ca="1">IF(AND(ISNUMBER($AX$36),$B$28=1),$AX$36,HLOOKUP(INDIRECT(ADDRESS(2,COLUMN())),OFFSET($BN$2,0,0,ROW()-1,60),ROW()-1,FALSE))</f>
        <v>321.91899999999998</v>
      </c>
      <c r="AY8">
        <f ca="1">IF(AND(ISNUMBER($AY$36),$B$28=1),$AY$36,HLOOKUP(INDIRECT(ADDRESS(2,COLUMN())),OFFSET($BN$2,0,0,ROW()-1,60),ROW()-1,FALSE))</f>
        <v>307.988</v>
      </c>
      <c r="AZ8">
        <f ca="1">IF(AND(ISNUMBER($AZ$36),$B$28=1),$AZ$36,HLOOKUP(INDIRECT(ADDRESS(2,COLUMN())),OFFSET($BN$2,0,0,ROW()-1,60),ROW()-1,FALSE))</f>
        <v>311.89499999999998</v>
      </c>
      <c r="BA8">
        <f ca="1">IF(AND(ISNUMBER($BA$36),$B$28=1),$BA$36,HLOOKUP(INDIRECT(ADDRESS(2,COLUMN())),OFFSET($BN$2,0,0,ROW()-1,60),ROW()-1,FALSE))</f>
        <v>335.94</v>
      </c>
      <c r="BB8">
        <f ca="1">IF(AND(ISNUMBER($BB$36),$B$28=1),$BB$36,HLOOKUP(INDIRECT(ADDRESS(2,COLUMN())),OFFSET($BN$2,0,0,ROW()-1,60),ROW()-1,FALSE))</f>
        <v>288.06650000000002</v>
      </c>
      <c r="BC8">
        <f ca="1">IF(AND(ISNUMBER($BC$36),$B$28=1),$BC$36,HLOOKUP(INDIRECT(ADDRESS(2,COLUMN())),OFFSET($BN$2,0,0,ROW()-1,60),ROW()-1,FALSE))</f>
        <v>252.70599999999999</v>
      </c>
      <c r="BD8">
        <f ca="1">IF(AND(ISNUMBER($BD$36),$B$28=1),$BD$36,HLOOKUP(INDIRECT(ADDRESS(2,COLUMN())),OFFSET($BN$2,0,0,ROW()-1,60),ROW()-1,FALSE))</f>
        <v>293.92700000000002</v>
      </c>
      <c r="BE8">
        <f ca="1">IF(AND(ISNUMBER($BE$36),$B$28=1),$BE$36,HLOOKUP(INDIRECT(ADDRESS(2,COLUMN())),OFFSET($BN$2,0,0,ROW()-1,60),ROW()-1,FALSE))</f>
        <v>269.51400000000001</v>
      </c>
      <c r="BF8">
        <f ca="1">IF(AND(ISNUMBER($BF$36),$B$28=1),$BF$36,HLOOKUP(INDIRECT(ADDRESS(2,COLUMN())),OFFSET($BN$2,0,0,ROW()-1,60),ROW()-1,FALSE))</f>
        <v>239.85</v>
      </c>
      <c r="BG8">
        <f ca="1">IF(AND(ISNUMBER($BG$36),$B$28=1),$BG$36,HLOOKUP(INDIRECT(ADDRESS(2,COLUMN())),OFFSET($BN$2,0,0,ROW()-1,60),ROW()-1,FALSE))</f>
        <v>249.416</v>
      </c>
      <c r="BH8">
        <f ca="1">IF(AND(ISNUMBER($BH$36),$B$28=1),$BH$36,HLOOKUP(INDIRECT(ADDRESS(2,COLUMN())),OFFSET($BN$2,0,0,ROW()-1,60),ROW()-1,FALSE))</f>
        <v>237.69</v>
      </c>
      <c r="BI8">
        <f ca="1">IF(AND(ISNUMBER($BI$36),$B$28=1),$BI$36,HLOOKUP(INDIRECT(ADDRESS(2,COLUMN())),OFFSET($BN$2,0,0,ROW()-1,60),ROW()-1,FALSE))</f>
        <v>265.26400000000001</v>
      </c>
      <c r="BJ8">
        <f ca="1">IF(AND(ISNUMBER($BJ$36),$B$28=1),$BJ$36,HLOOKUP(INDIRECT(ADDRESS(2,COLUMN())),OFFSET($BN$2,0,0,ROW()-1,60),ROW()-1,FALSE))</f>
        <v>205.72300000000001</v>
      </c>
      <c r="BK8">
        <f ca="1">IF(AND(ISNUMBER($BK$36),$B$28=1),$BK$36,HLOOKUP(INDIRECT(ADDRESS(2,COLUMN())),OFFSET($BN$2,0,0,ROW()-1,60),ROW()-1,FALSE))</f>
        <v>257.55799999999999</v>
      </c>
      <c r="BL8">
        <f ca="1">IF(AND(ISNUMBER($BL$36),$B$28=1),$BL$36,HLOOKUP(INDIRECT(ADDRESS(2,COLUMN())),OFFSET($BN$2,0,0,ROW()-1,60),ROW()-1,FALSE))</f>
        <v>199.935</v>
      </c>
      <c r="BM8">
        <f ca="1">IF(AND(ISNUMBER($BM$36),$B$28=1),$BM$36,HLOOKUP(INDIRECT(ADDRESS(2,COLUMN())),OFFSET($BN$2,0,0,ROW()-1,60),ROW()-1,FALSE))</f>
        <v>212.97800000000001</v>
      </c>
      <c r="BN8">
        <f>1228.351775</f>
        <v>1228.3517750000001</v>
      </c>
      <c r="BO8">
        <f>1422.969</f>
        <v>1422.9690000000001</v>
      </c>
      <c r="BP8">
        <f>1440.036</f>
        <v>1440.0360000000001</v>
      </c>
      <c r="BQ8">
        <f>1464.155</f>
        <v>1464.155</v>
      </c>
      <c r="BR8">
        <f>1370.623</f>
        <v>1370.623</v>
      </c>
      <c r="BS8">
        <f>1581.662</f>
        <v>1581.662</v>
      </c>
      <c r="BT8">
        <f>1475.89</f>
        <v>1475.89</v>
      </c>
      <c r="BU8">
        <f>1459.078</f>
        <v>1459.078</v>
      </c>
      <c r="BV8">
        <f>1370.389</f>
        <v>1370.3889999999999</v>
      </c>
      <c r="BW8">
        <f>2604.002</f>
        <v>2604.002</v>
      </c>
      <c r="BX8">
        <f>1271.2</f>
        <v>1271.2</v>
      </c>
      <c r="BY8">
        <f>1217.393</f>
        <v>1217.393</v>
      </c>
      <c r="BZ8">
        <f>1315.288</f>
        <v>1315.288</v>
      </c>
      <c r="CA8">
        <f>1129.343</f>
        <v>1129.3430000000001</v>
      </c>
      <c r="CB8">
        <f>1095.135</f>
        <v>1095.135</v>
      </c>
      <c r="CC8">
        <f>1056.519</f>
        <v>1056.519</v>
      </c>
      <c r="CD8">
        <f>1014.44</f>
        <v>1014.44</v>
      </c>
      <c r="CE8">
        <f>964.14</f>
        <v>964.14</v>
      </c>
      <c r="CF8">
        <f>933.06</f>
        <v>933.06</v>
      </c>
      <c r="CG8">
        <f>930.032</f>
        <v>930.03200000000004</v>
      </c>
      <c r="CH8">
        <f>870.873</f>
        <v>870.87300000000005</v>
      </c>
      <c r="CI8">
        <f>808.682</f>
        <v>808.68200000000002</v>
      </c>
      <c r="CJ8">
        <f>794.529</f>
        <v>794.529</v>
      </c>
      <c r="CK8">
        <f>773.515</f>
        <v>773.51499999999999</v>
      </c>
      <c r="CL8">
        <f>735.167</f>
        <v>735.16700000000003</v>
      </c>
      <c r="CM8">
        <f>714.148</f>
        <v>714.14800000000002</v>
      </c>
      <c r="CN8">
        <f>659.541</f>
        <v>659.54100000000005</v>
      </c>
      <c r="CO8">
        <f>642.139</f>
        <v>642.13900000000001</v>
      </c>
      <c r="CP8">
        <f>577.824</f>
        <v>577.82399999999996</v>
      </c>
      <c r="CQ8">
        <f>559.158</f>
        <v>559.15800000000002</v>
      </c>
      <c r="CR8">
        <f>533.089</f>
        <v>533.08900000000006</v>
      </c>
      <c r="CS8">
        <f>532.637</f>
        <v>532.63699999999994</v>
      </c>
      <c r="CT8">
        <f>521.969</f>
        <v>521.96900000000005</v>
      </c>
      <c r="CU8">
        <f>500.528</f>
        <v>500.52800000000002</v>
      </c>
      <c r="CV8">
        <f>489.798</f>
        <v>489.798</v>
      </c>
      <c r="CW8">
        <f>480.297</f>
        <v>480.29700000000003</v>
      </c>
      <c r="CX8">
        <f>489.451</f>
        <v>489.45100000000002</v>
      </c>
      <c r="CY8">
        <f>478.405</f>
        <v>478.40499999999997</v>
      </c>
      <c r="CZ8">
        <f>440.286</f>
        <v>440.286</v>
      </c>
      <c r="DA8">
        <f>441.695</f>
        <v>441.69499999999999</v>
      </c>
      <c r="DB8">
        <f>402.073</f>
        <v>402.07299999999998</v>
      </c>
      <c r="DC8">
        <f>389.694</f>
        <v>389.69400000000002</v>
      </c>
      <c r="DD8">
        <f>637.951</f>
        <v>637.95100000000002</v>
      </c>
      <c r="DE8">
        <f>400.229</f>
        <v>400.22899999999998</v>
      </c>
      <c r="DF8">
        <f>321.919</f>
        <v>321.91899999999998</v>
      </c>
      <c r="DG8">
        <f>307.988</f>
        <v>307.988</v>
      </c>
      <c r="DH8">
        <f>311.895</f>
        <v>311.89499999999998</v>
      </c>
      <c r="DI8">
        <f>335.94</f>
        <v>335.94</v>
      </c>
      <c r="DJ8">
        <f>288.0665</f>
        <v>288.06650000000002</v>
      </c>
      <c r="DK8">
        <f>252.706</f>
        <v>252.70599999999999</v>
      </c>
      <c r="DL8">
        <f>293.927</f>
        <v>293.92700000000002</v>
      </c>
      <c r="DM8">
        <f>269.514</f>
        <v>269.51400000000001</v>
      </c>
      <c r="DN8">
        <f>239.85</f>
        <v>239.85</v>
      </c>
      <c r="DO8">
        <f>249.416</f>
        <v>249.416</v>
      </c>
      <c r="DP8">
        <f>237.69</f>
        <v>237.69</v>
      </c>
      <c r="DQ8">
        <f>265.264</f>
        <v>265.26400000000001</v>
      </c>
      <c r="DR8">
        <f>205.723</f>
        <v>205.72300000000001</v>
      </c>
      <c r="DS8">
        <f>257.558</f>
        <v>257.55799999999999</v>
      </c>
      <c r="DT8">
        <f>199.935</f>
        <v>199.935</v>
      </c>
      <c r="DU8">
        <f>212.978</f>
        <v>212.97800000000001</v>
      </c>
    </row>
    <row r="9" spans="1:125">
      <c r="A9" t="str">
        <f>"    医疗保健房地产投资信托总收购"</f>
        <v xml:space="preserve">    医疗保健房地产投资信托总收购</v>
      </c>
      <c r="B9" t="str">
        <f>"RECFTAHC Index"</f>
        <v>RECFTAHC Index</v>
      </c>
      <c r="E9" t="str">
        <f>"Expression"</f>
        <v>Expression</v>
      </c>
      <c r="F9">
        <f ca="1">IF(AND($B$28=1,LEN($F$30)&gt;0),$F$30*1000,HLOOKUP(INDIRECT(ADDRESS(2,COLUMN())),OFFSET($BN$2,0,0,ROW()-1,60),ROW()-1,FALSE))</f>
        <v>1238.7349999999999</v>
      </c>
      <c r="G9">
        <f ca="1">IF(AND($B$28=1,LEN($G$30)&gt;0),$G$30*1000,HLOOKUP(INDIRECT(ADDRESS(2,COLUMN())),OFFSET($BN$2,0,0,ROW()-1,60),ROW()-1,FALSE))</f>
        <v>2376.6439999999998</v>
      </c>
      <c r="H9">
        <f ca="1">IF(AND($B$28=1,LEN($H$30)&gt;0),$H$30*1000,HLOOKUP(INDIRECT(ADDRESS(2,COLUMN())),OFFSET($BN$2,0,0,ROW()-1,60),ROW()-1,FALSE))</f>
        <v>4701.1819999999998</v>
      </c>
      <c r="I9">
        <f ca="1">IF(AND($B$28=1,LEN($I$30)&gt;0),$I$30*1000,HLOOKUP(INDIRECT(ADDRESS(2,COLUMN())),OFFSET($BN$2,0,0,ROW()-1,60),ROW()-1,FALSE))</f>
        <v>1092.9159999999999</v>
      </c>
      <c r="J9">
        <f ca="1">IF(AND($B$28=1,LEN($J$30)&gt;0),$J$30*1000,HLOOKUP(INDIRECT(ADDRESS(2,COLUMN())),OFFSET($BN$2,0,0,ROW()-1,60),ROW()-1,FALSE))</f>
        <v>4196.5519999999997</v>
      </c>
      <c r="K9">
        <f ca="1">IF(AND($B$28=1,LEN($K$30)&gt;0),$K$30*1000,HLOOKUP(INDIRECT(ADDRESS(2,COLUMN())),OFFSET($BN$2,0,0,ROW()-1,60),ROW()-1,FALSE))</f>
        <v>3976.52</v>
      </c>
      <c r="L9">
        <f ca="1">IF(AND($B$28=1,LEN($L$30)&gt;0),$L$30*1000,HLOOKUP(INDIRECT(ADDRESS(2,COLUMN())),OFFSET($BN$2,0,0,ROW()-1,60),ROW()-1,FALSE))</f>
        <v>2091.002</v>
      </c>
      <c r="M9">
        <f ca="1">IF(AND($B$28=1,LEN($M$30)&gt;0),$M$30*1000,HLOOKUP(INDIRECT(ADDRESS(2,COLUMN())),OFFSET($BN$2,0,0,ROW()-1,60),ROW()-1,FALSE))</f>
        <v>1356.249</v>
      </c>
      <c r="N9">
        <f ca="1">IF(AND($B$28=1,LEN($N$30)&gt;0),$N$30*1000,HLOOKUP(INDIRECT(ADDRESS(2,COLUMN())),OFFSET($BN$2,0,0,ROW()-1,60),ROW()-1,FALSE))</f>
        <v>2313.3719999999998</v>
      </c>
      <c r="O9">
        <f ca="1">IF(AND($B$28=1,LEN($O$30)&gt;0),$O$30*1000,HLOOKUP(INDIRECT(ADDRESS(2,COLUMN())),OFFSET($BN$2,0,0,ROW()-1,60),ROW()-1,FALSE))</f>
        <v>4657.2579999999998</v>
      </c>
      <c r="P9">
        <f ca="1">IF(AND($B$28=1,LEN($P$30)&gt;0),$P$30*1000,HLOOKUP(INDIRECT(ADDRESS(2,COLUMN())),OFFSET($BN$2,0,0,ROW()-1,60),ROW()-1,FALSE))</f>
        <v>8446.777</v>
      </c>
      <c r="Q9">
        <f ca="1">IF(AND($B$28=1,LEN($Q$30)&gt;0),$Q$30*1000,HLOOKUP(INDIRECT(ADDRESS(2,COLUMN())),OFFSET($BN$2,0,0,ROW()-1,60),ROW()-1,FALSE))</f>
        <v>6871.951</v>
      </c>
      <c r="R9">
        <f ca="1">IF(AND($B$28=1,LEN($R$30)&gt;0),$R$30*1000,HLOOKUP(INDIRECT(ADDRESS(2,COLUMN())),OFFSET($BN$2,0,0,ROW()-1,60),ROW()-1,FALSE))</f>
        <v>3065.174</v>
      </c>
      <c r="S9">
        <f ca="1">IF(AND($B$28=1,LEN($S$30)&gt;0),$S$30*1000,HLOOKUP(INDIRECT(ADDRESS(2,COLUMN())),OFFSET($BN$2,0,0,ROW()-1,60),ROW()-1,FALSE))</f>
        <v>3249.3980000000001</v>
      </c>
      <c r="T9">
        <f ca="1">IF(AND($B$28=1,LEN($T$30)&gt;0),$T$30*1000,HLOOKUP(INDIRECT(ADDRESS(2,COLUMN())),OFFSET($BN$2,0,0,ROW()-1,60),ROW()-1,FALSE))</f>
        <v>2671.0889999999999</v>
      </c>
      <c r="U9">
        <f ca="1">IF(AND($B$28=1,LEN($U$30)&gt;0),$U$30*1000,HLOOKUP(INDIRECT(ADDRESS(2,COLUMN())),OFFSET($BN$2,0,0,ROW()-1,60),ROW()-1,FALSE))</f>
        <v>1250.57</v>
      </c>
      <c r="V9">
        <f ca="1">IF(AND($B$28=1,LEN($V$30)&gt;0),$V$30*1000,HLOOKUP(INDIRECT(ADDRESS(2,COLUMN())),OFFSET($BN$2,0,0,ROW()-1,60),ROW()-1,FALSE))</f>
        <v>2284.8519999999999</v>
      </c>
      <c r="W9">
        <f ca="1">IF(AND($B$28=1,LEN($W$30)&gt;0),$W$30*1000,HLOOKUP(INDIRECT(ADDRESS(2,COLUMN())),OFFSET($BN$2,0,0,ROW()-1,60),ROW()-1,FALSE))</f>
        <v>3032.2190000000001</v>
      </c>
      <c r="X9">
        <f ca="1">IF(AND($B$28=1,LEN($X$30)&gt;0),$X$30*1000,HLOOKUP(INDIRECT(ADDRESS(2,COLUMN())),OFFSET($BN$2,0,0,ROW()-1,60),ROW()-1,FALSE))</f>
        <v>1992.954</v>
      </c>
      <c r="Y9">
        <f ca="1">IF(AND($B$28=1,LEN($Y$30)&gt;0),$Y$30*1000,HLOOKUP(INDIRECT(ADDRESS(2,COLUMN())),OFFSET($BN$2,0,0,ROW()-1,60),ROW()-1,FALSE))</f>
        <v>2871.47</v>
      </c>
      <c r="Z9">
        <f ca="1">IF(AND($B$28=1,LEN($Z$30)&gt;0),$Z$30*1000,HLOOKUP(INDIRECT(ADDRESS(2,COLUMN())),OFFSET($BN$2,0,0,ROW()-1,60),ROW()-1,FALSE))</f>
        <v>5067.6980000000003</v>
      </c>
      <c r="AA9">
        <f ca="1">IF(AND($B$28=1,LEN($AA$30)&gt;0),$AA$30*1000,HLOOKUP(INDIRECT(ADDRESS(2,COLUMN())),OFFSET($BN$2,0,0,ROW()-1,60),ROW()-1,FALSE))</f>
        <v>2368.268</v>
      </c>
      <c r="AB9">
        <f ca="1">IF(AND($B$28=1,LEN($AB$30)&gt;0),$AB$30*1000,HLOOKUP(INDIRECT(ADDRESS(2,COLUMN())),OFFSET($BN$2,0,0,ROW()-1,60),ROW()-1,FALSE))</f>
        <v>1947.7860000000001</v>
      </c>
      <c r="AC9">
        <f ca="1">IF(AND($B$28=1,LEN($AC$30)&gt;0),$AC$30*1000,HLOOKUP(INDIRECT(ADDRESS(2,COLUMN())),OFFSET($BN$2,0,0,ROW()-1,60),ROW()-1,FALSE))</f>
        <v>1219.125</v>
      </c>
      <c r="AD9">
        <f ca="1">IF(AND($B$28=1,LEN($AD$30)&gt;0),$AD$30*1000,HLOOKUP(INDIRECT(ADDRESS(2,COLUMN())),OFFSET($BN$2,0,0,ROW()-1,60),ROW()-1,FALSE))</f>
        <v>5700.732</v>
      </c>
      <c r="AE9">
        <f ca="1">IF(AND($B$28=1,LEN($AE$30)&gt;0),$AE$30*1000,HLOOKUP(INDIRECT(ADDRESS(2,COLUMN())),OFFSET($BN$2,0,0,ROW()-1,60),ROW()-1,FALSE))</f>
        <v>8684.69</v>
      </c>
      <c r="AF9">
        <f ca="1">IF(AND($B$28=1,LEN($AF$30)&gt;0),$AF$30*1000,HLOOKUP(INDIRECT(ADDRESS(2,COLUMN())),OFFSET($BN$2,0,0,ROW()-1,60),ROW()-1,FALSE))</f>
        <v>12694.085999999999</v>
      </c>
      <c r="AG9">
        <f ca="1">IF(AND($B$28=1,LEN($AG$30)&gt;0),$AG$30*1000,HLOOKUP(INDIRECT(ADDRESS(2,COLUMN())),OFFSET($BN$2,0,0,ROW()-1,60),ROW()-1,FALSE))</f>
        <v>2345.0479999999998</v>
      </c>
      <c r="AH9">
        <f ca="1">IF(AND($B$28=1,LEN($AH$30)&gt;0),$AH$30*1000,HLOOKUP(INDIRECT(ADDRESS(2,COLUMN())),OFFSET($BN$2,0,0,ROW()-1,60),ROW()-1,FALSE))</f>
        <v>2651.752</v>
      </c>
      <c r="AI9">
        <f ca="1">IF(AND($B$28=1,LEN($AI$30)&gt;0),$AI$30*1000,HLOOKUP(INDIRECT(ADDRESS(2,COLUMN())),OFFSET($BN$2,0,0,ROW()-1,60),ROW()-1,FALSE))</f>
        <v>1340.655</v>
      </c>
      <c r="AJ9">
        <f ca="1">IF(AND($B$28=1,LEN($AJ$30)&gt;0),$AJ$30*1000,HLOOKUP(INDIRECT(ADDRESS(2,COLUMN())),OFFSET($BN$2,0,0,ROW()-1,60),ROW()-1,FALSE))</f>
        <v>1166.5440000000001</v>
      </c>
      <c r="AK9">
        <f ca="1">IF(AND($B$28=1,LEN($AK$30)&gt;0),$AK$30*1000,HLOOKUP(INDIRECT(ADDRESS(2,COLUMN())),OFFSET($BN$2,0,0,ROW()-1,60),ROW()-1,FALSE))</f>
        <v>1015.278</v>
      </c>
      <c r="AL9">
        <f ca="1">IF(AND($B$28=1,LEN($AL$30)&gt;0),$AL$30*1000,HLOOKUP(INDIRECT(ADDRESS(2,COLUMN())),OFFSET($BN$2,0,0,ROW()-1,60),ROW()-1,FALSE))</f>
        <v>649.53099999999995</v>
      </c>
      <c r="AM9">
        <f ca="1">IF(AND($B$28=1,LEN($AM$30)&gt;0),$AM$30*1000,HLOOKUP(INDIRECT(ADDRESS(2,COLUMN())),OFFSET($BN$2,0,0,ROW()-1,60),ROW()-1,FALSE))</f>
        <v>353.96499999999997</v>
      </c>
      <c r="AN9">
        <f ca="1">IF(AND($B$28=1,LEN($AN$30)&gt;0),$AN$30*1000,HLOOKUP(INDIRECT(ADDRESS(2,COLUMN())),OFFSET($BN$2,0,0,ROW()-1,60),ROW()-1,FALSE))</f>
        <v>94.471000000000004</v>
      </c>
      <c r="AO9">
        <f ca="1">IF(AND($B$28=1,LEN($AO$30)&gt;0),$AO$30*1000,HLOOKUP(INDIRECT(ADDRESS(2,COLUMN())),OFFSET($BN$2,0,0,ROW()-1,60),ROW()-1,FALSE))</f>
        <v>34.35</v>
      </c>
      <c r="AP9">
        <f ca="1">IF(AND($B$28=1,LEN($AP$30)&gt;0),$AP$30*1000,HLOOKUP(INDIRECT(ADDRESS(2,COLUMN())),OFFSET($BN$2,0,0,ROW()-1,60),ROW()-1,FALSE))</f>
        <v>272.96600000000001</v>
      </c>
      <c r="AQ9">
        <f ca="1">IF(AND($B$28=1,LEN($AQ$30)&gt;0),$AQ$30*1000,HLOOKUP(INDIRECT(ADDRESS(2,COLUMN())),OFFSET($BN$2,0,0,ROW()-1,60),ROW()-1,FALSE))</f>
        <v>623.23299999999995</v>
      </c>
      <c r="AR9">
        <f ca="1">IF(AND($B$28=1,LEN($AR$30)&gt;0),$AR$30*1000,HLOOKUP(INDIRECT(ADDRESS(2,COLUMN())),OFFSET($BN$2,0,0,ROW()-1,60),ROW()-1,FALSE))</f>
        <v>676.89400000000001</v>
      </c>
      <c r="AS9">
        <f ca="1">IF(AND($B$28=1,LEN($AS$30)&gt;0),$AS$30*1000,HLOOKUP(INDIRECT(ADDRESS(2,COLUMN())),OFFSET($BN$2,0,0,ROW()-1,60),ROW()-1,FALSE))</f>
        <v>412.18400000000003</v>
      </c>
      <c r="AT9">
        <f ca="1">IF(AND($B$28=1,LEN($AT$30)&gt;0),$AT$30*1000,HLOOKUP(INDIRECT(ADDRESS(2,COLUMN())),OFFSET($BN$2,0,0,ROW()-1,60),ROW()-1,FALSE))</f>
        <v>265.96899999999999</v>
      </c>
      <c r="AU9">
        <f ca="1">IF(AND($B$28=1,LEN($AU$30)&gt;0),$AU$30*1000,HLOOKUP(INDIRECT(ADDRESS(2,COLUMN())),OFFSET($BN$2,0,0,ROW()-1,60),ROW()-1,FALSE))</f>
        <v>435.20800000000003</v>
      </c>
      <c r="AV9">
        <f ca="1">IF(AND($B$28=1,LEN($AV$30)&gt;0),$AV$30*1000,HLOOKUP(INDIRECT(ADDRESS(2,COLUMN())),OFFSET($BN$2,0,0,ROW()-1,60),ROW()-1,FALSE))</f>
        <v>2552.0140000000001</v>
      </c>
      <c r="AW9">
        <f ca="1">IF(AND($B$28=1,LEN($AW$30)&gt;0),$AW$30*1000,HLOOKUP(INDIRECT(ADDRESS(2,COLUMN())),OFFSET($BN$2,0,0,ROW()-1,60),ROW()-1,FALSE))</f>
        <v>615.39</v>
      </c>
      <c r="AX9">
        <f ca="1">IF(AND($B$28=1,LEN($AX$30)&gt;0),$AX$30*1000,HLOOKUP(INDIRECT(ADDRESS(2,COLUMN())),OFFSET($BN$2,0,0,ROW()-1,60),ROW()-1,FALSE))</f>
        <v>6165.3919999999998</v>
      </c>
      <c r="AY9">
        <f ca="1">IF(AND($B$28=1,LEN($AY$30)&gt;0),$AY$30*1000,HLOOKUP(INDIRECT(ADDRESS(2,COLUMN())),OFFSET($BN$2,0,0,ROW()-1,60),ROW()-1,FALSE))</f>
        <v>541.49400000000003</v>
      </c>
      <c r="AZ9">
        <f ca="1">IF(AND($B$28=1,LEN($AZ$30)&gt;0),$AZ$30*1000,HLOOKUP(INDIRECT(ADDRESS(2,COLUMN())),OFFSET($BN$2,0,0,ROW()-1,60),ROW()-1,FALSE))</f>
        <v>762.04399999999998</v>
      </c>
      <c r="BA9">
        <f ca="1">IF(AND($B$28=1,LEN($BA$30)&gt;0),$BA$30*1000,HLOOKUP(INDIRECT(ADDRESS(2,COLUMN())),OFFSET($BN$2,0,0,ROW()-1,60),ROW()-1,FALSE))</f>
        <v>621.18100000000004</v>
      </c>
      <c r="BB9">
        <f ca="1">IF(AND($B$28=1,LEN($BB$30)&gt;0),$BB$30*1000,HLOOKUP(INDIRECT(ADDRESS(2,COLUMN())),OFFSET($BN$2,0,0,ROW()-1,60),ROW()-1,FALSE))</f>
        <v>936.697</v>
      </c>
      <c r="BC9">
        <f ca="1">IF(AND($B$28=1,LEN($BC$30)&gt;0),$BC$30*1000,HLOOKUP(INDIRECT(ADDRESS(2,COLUMN())),OFFSET($BN$2,0,0,ROW()-1,60),ROW()-1,FALSE))</f>
        <v>522.803</v>
      </c>
      <c r="BD9">
        <f ca="1">IF(AND($B$28=1,LEN($BD$30)&gt;0),$BD$30*1000,HLOOKUP(INDIRECT(ADDRESS(2,COLUMN())),OFFSET($BN$2,0,0,ROW()-1,60),ROW()-1,FALSE))</f>
        <v>1936.3030000000001</v>
      </c>
      <c r="BE9">
        <f ca="1">IF(AND($B$28=1,LEN($BE$30)&gt;0),$BE$30*1000,HLOOKUP(INDIRECT(ADDRESS(2,COLUMN())),OFFSET($BN$2,0,0,ROW()-1,60),ROW()-1,FALSE))</f>
        <v>370.62400000000002</v>
      </c>
      <c r="BF9">
        <f ca="1">IF(AND($B$28=1,LEN($BF$30)&gt;0),$BF$30*1000,HLOOKUP(INDIRECT(ADDRESS(2,COLUMN())),OFFSET($BN$2,0,0,ROW()-1,60),ROW()-1,FALSE))</f>
        <v>576.91399999999999</v>
      </c>
      <c r="BG9">
        <f ca="1">IF(AND($B$28=1,LEN($BG$30)&gt;0),$BG$30*1000,HLOOKUP(INDIRECT(ADDRESS(2,COLUMN())),OFFSET($BN$2,0,0,ROW()-1,60),ROW()-1,FALSE))</f>
        <v>472.76</v>
      </c>
      <c r="BH9">
        <f ca="1">IF(AND($B$28=1,LEN($BH$30)&gt;0),$BH$30*1000,HLOOKUP(INDIRECT(ADDRESS(2,COLUMN())),OFFSET($BN$2,0,0,ROW()-1,60),ROW()-1,FALSE))</f>
        <v>519.34299999999996</v>
      </c>
      <c r="BI9">
        <f ca="1">IF(AND($B$28=1,LEN($BI$30)&gt;0),$BI$30*1000,HLOOKUP(INDIRECT(ADDRESS(2,COLUMN())),OFFSET($BN$2,0,0,ROW()-1,60),ROW()-1,FALSE))</f>
        <v>582.75800000000004</v>
      </c>
      <c r="BJ9">
        <f ca="1">IF(AND($B$28=1,LEN($BJ$30)&gt;0),$BJ$30*1000,HLOOKUP(INDIRECT(ADDRESS(2,COLUMN())),OFFSET($BN$2,0,0,ROW()-1,60),ROW()-1,FALSE))</f>
        <v>0</v>
      </c>
      <c r="BK9">
        <f ca="1">IF(AND($B$28=1,LEN($BK$30)&gt;0),$BK$30*1000,HLOOKUP(INDIRECT(ADDRESS(2,COLUMN())),OFFSET($BN$2,0,0,ROW()-1,60),ROW()-1,FALSE))</f>
        <v>0</v>
      </c>
      <c r="BL9">
        <f ca="1">IF(AND($B$28=1,LEN($BL$30)&gt;0),$BL$30*1000,HLOOKUP(INDIRECT(ADDRESS(2,COLUMN())),OFFSET($BN$2,0,0,ROW()-1,60),ROW()-1,FALSE))</f>
        <v>0</v>
      </c>
      <c r="BM9">
        <f ca="1">IF(AND($B$28=1,LEN($BM$30)&gt;0),$BM$30*1000,HLOOKUP(INDIRECT(ADDRESS(2,COLUMN())),OFFSET($BN$2,0,0,ROW()-1,60),ROW()-1,FALSE))</f>
        <v>0</v>
      </c>
      <c r="BN9">
        <f>1238.735</f>
        <v>1238.7349999999999</v>
      </c>
      <c r="BO9">
        <f>2376.644</f>
        <v>2376.6439999999998</v>
      </c>
      <c r="BP9">
        <f>4701.182</f>
        <v>4701.1819999999998</v>
      </c>
      <c r="BQ9">
        <f>1092.916</f>
        <v>1092.9159999999999</v>
      </c>
      <c r="BR9">
        <f>4196.552</f>
        <v>4196.5519999999997</v>
      </c>
      <c r="BS9">
        <f>3976.52</f>
        <v>3976.52</v>
      </c>
      <c r="BT9">
        <f>2091.002</f>
        <v>2091.002</v>
      </c>
      <c r="BU9">
        <f>1356.249</f>
        <v>1356.249</v>
      </c>
      <c r="BV9">
        <f>2313.372</f>
        <v>2313.3719999999998</v>
      </c>
      <c r="BW9">
        <f>4657.258</f>
        <v>4657.2579999999998</v>
      </c>
      <c r="BX9">
        <f>8446.777</f>
        <v>8446.777</v>
      </c>
      <c r="BY9">
        <f>6871.951</f>
        <v>6871.951</v>
      </c>
      <c r="BZ9">
        <f>3065.174</f>
        <v>3065.174</v>
      </c>
      <c r="CA9">
        <f>3249.398</f>
        <v>3249.3980000000001</v>
      </c>
      <c r="CB9">
        <f>2671.089</f>
        <v>2671.0889999999999</v>
      </c>
      <c r="CC9">
        <f>1250.57</f>
        <v>1250.57</v>
      </c>
      <c r="CD9">
        <f>2284.852</f>
        <v>2284.8519999999999</v>
      </c>
      <c r="CE9">
        <f>3032.219</f>
        <v>3032.2190000000001</v>
      </c>
      <c r="CF9">
        <f>1992.954</f>
        <v>1992.954</v>
      </c>
      <c r="CG9">
        <f>2871.47</f>
        <v>2871.47</v>
      </c>
      <c r="CH9">
        <f>5067.698</f>
        <v>5067.6980000000003</v>
      </c>
      <c r="CI9">
        <f>2368.268</f>
        <v>2368.268</v>
      </c>
      <c r="CJ9">
        <f>1947.786</f>
        <v>1947.7860000000001</v>
      </c>
      <c r="CK9">
        <f>1219.125</f>
        <v>1219.125</v>
      </c>
      <c r="CL9">
        <f>5700.732</f>
        <v>5700.732</v>
      </c>
      <c r="CM9">
        <f>8684.69</f>
        <v>8684.69</v>
      </c>
      <c r="CN9">
        <f>12694.086</f>
        <v>12694.085999999999</v>
      </c>
      <c r="CO9">
        <f>2345.048</f>
        <v>2345.0479999999998</v>
      </c>
      <c r="CP9">
        <f>2651.752</f>
        <v>2651.752</v>
      </c>
      <c r="CQ9">
        <f>1340.655</f>
        <v>1340.655</v>
      </c>
      <c r="CR9">
        <f>1166.544</f>
        <v>1166.5440000000001</v>
      </c>
      <c r="CS9">
        <f>1015.278</f>
        <v>1015.278</v>
      </c>
      <c r="CT9">
        <f>649.531</f>
        <v>649.53099999999995</v>
      </c>
      <c r="CU9">
        <f>353.965</f>
        <v>353.96499999999997</v>
      </c>
      <c r="CV9">
        <f>94.471</f>
        <v>94.471000000000004</v>
      </c>
      <c r="CW9">
        <f>34.35</f>
        <v>34.35</v>
      </c>
      <c r="CX9">
        <f>272.966</f>
        <v>272.96600000000001</v>
      </c>
      <c r="CY9">
        <f>623.233</f>
        <v>623.23299999999995</v>
      </c>
      <c r="CZ9">
        <f>676.894</f>
        <v>676.89400000000001</v>
      </c>
      <c r="DA9">
        <f>412.184</f>
        <v>412.18400000000003</v>
      </c>
      <c r="DB9">
        <f>265.969</f>
        <v>265.96899999999999</v>
      </c>
      <c r="DC9">
        <f>435.208</f>
        <v>435.20800000000003</v>
      </c>
      <c r="DD9">
        <f>2552.014</f>
        <v>2552.0140000000001</v>
      </c>
      <c r="DE9">
        <f>615.39</f>
        <v>615.39</v>
      </c>
      <c r="DF9">
        <f>6165.392</f>
        <v>6165.3919999999998</v>
      </c>
      <c r="DG9">
        <f>541.494</f>
        <v>541.49400000000003</v>
      </c>
      <c r="DH9">
        <f>762.044</f>
        <v>762.04399999999998</v>
      </c>
      <c r="DI9">
        <f>621.181</f>
        <v>621.18100000000004</v>
      </c>
      <c r="DJ9">
        <f>936.697</f>
        <v>936.697</v>
      </c>
      <c r="DK9">
        <f>522.803</f>
        <v>522.803</v>
      </c>
      <c r="DL9">
        <f>1936.303</f>
        <v>1936.3030000000001</v>
      </c>
      <c r="DM9">
        <f>370.624</f>
        <v>370.62400000000002</v>
      </c>
      <c r="DN9">
        <f>576.914</f>
        <v>576.91399999999999</v>
      </c>
      <c r="DO9">
        <f>472.76</f>
        <v>472.76</v>
      </c>
      <c r="DP9">
        <f>519.343</f>
        <v>519.34299999999996</v>
      </c>
      <c r="DQ9">
        <f>582.758</f>
        <v>582.75800000000004</v>
      </c>
      <c r="DR9">
        <f>0</f>
        <v>0</v>
      </c>
      <c r="DS9">
        <f>0</f>
        <v>0</v>
      </c>
      <c r="DT9">
        <f>0</f>
        <v>0</v>
      </c>
      <c r="DU9">
        <f>0</f>
        <v>0</v>
      </c>
    </row>
    <row r="10" spans="1:125">
      <c r="A10" t="str">
        <f>"    医疗保健房地产投资信托总处置"</f>
        <v xml:space="preserve">    医疗保健房地产投资信托总处置</v>
      </c>
      <c r="B10" t="str">
        <f>"RECFDSHC Index"</f>
        <v>RECFDSHC Index</v>
      </c>
      <c r="E10" t="str">
        <f>"Expression"</f>
        <v>Expression</v>
      </c>
      <c r="F10">
        <f ca="1">IF(AND($B$28=1,LEN($F$31)&gt;0),$F$31*1000,HLOOKUP(INDIRECT(ADDRESS(2,COLUMN())),OFFSET($BN$2,0,0,ROW()-1,60),ROW()-1,FALSE))</f>
        <v>879.32600000000002</v>
      </c>
      <c r="G10">
        <f ca="1">IF(AND($B$28=1,LEN($G$31)&gt;0),$G$31*1000,HLOOKUP(INDIRECT(ADDRESS(2,COLUMN())),OFFSET($BN$2,0,0,ROW()-1,60),ROW()-1,FALSE))</f>
        <v>618.63599999999997</v>
      </c>
      <c r="H10">
        <f ca="1">IF(AND($B$28=1,LEN($H$31)&gt;0),$H$31*1000,HLOOKUP(INDIRECT(ADDRESS(2,COLUMN())),OFFSET($BN$2,0,0,ROW()-1,60),ROW()-1,FALSE))</f>
        <v>399.37599999999998</v>
      </c>
      <c r="I10">
        <f ca="1">IF(AND($B$28=1,LEN($I$31)&gt;0),$I$31*1000,HLOOKUP(INDIRECT(ADDRESS(2,COLUMN())),OFFSET($BN$2,0,0,ROW()-1,60),ROW()-1,FALSE))</f>
        <v>3521.2</v>
      </c>
      <c r="J10">
        <f ca="1">IF(AND($B$28=1,LEN($J$31)&gt;0),$J$31*1000,HLOOKUP(INDIRECT(ADDRESS(2,COLUMN())),OFFSET($BN$2,0,0,ROW()-1,60),ROW()-1,FALSE))</f>
        <v>2296.5920000000001</v>
      </c>
      <c r="K10">
        <f ca="1">IF(AND($B$28=1,LEN($K$31)&gt;0),$K$31*1000,HLOOKUP(INDIRECT(ADDRESS(2,COLUMN())),OFFSET($BN$2,0,0,ROW()-1,60),ROW()-1,FALSE))</f>
        <v>619.44799999999998</v>
      </c>
      <c r="L10">
        <f ca="1">IF(AND($B$28=1,LEN($L$31)&gt;0),$L$31*1000,HLOOKUP(INDIRECT(ADDRESS(2,COLUMN())),OFFSET($BN$2,0,0,ROW()-1,60),ROW()-1,FALSE))</f>
        <v>749.92</v>
      </c>
      <c r="M10">
        <f ca="1">IF(AND($B$28=1,LEN($M$31)&gt;0),$M$31*1000,HLOOKUP(INDIRECT(ADDRESS(2,COLUMN())),OFFSET($BN$2,0,0,ROW()-1,60),ROW()-1,FALSE))</f>
        <v>206.03899999999999</v>
      </c>
      <c r="N10">
        <f ca="1">IF(AND($B$28=1,LEN($N$31)&gt;0),$N$31*1000,HLOOKUP(INDIRECT(ADDRESS(2,COLUMN())),OFFSET($BN$2,0,0,ROW()-1,60),ROW()-1,FALSE))</f>
        <v>752.05200000000002</v>
      </c>
      <c r="O10">
        <f ca="1">IF(AND($B$28=1,LEN($O$31)&gt;0),$O$31*1000,HLOOKUP(INDIRECT(ADDRESS(2,COLUMN())),OFFSET($BN$2,0,0,ROW()-1,60),ROW()-1,FALSE))</f>
        <v>279.37900000000002</v>
      </c>
      <c r="P10">
        <f ca="1">IF(AND($B$28=1,LEN($P$31)&gt;0),$P$31*1000,HLOOKUP(INDIRECT(ADDRESS(2,COLUMN())),OFFSET($BN$2,0,0,ROW()-1,60),ROW()-1,FALSE))</f>
        <v>809.64300000000003</v>
      </c>
      <c r="Q10">
        <f ca="1">IF(AND($B$28=1,LEN($Q$31)&gt;0),$Q$31*1000,HLOOKUP(INDIRECT(ADDRESS(2,COLUMN())),OFFSET($BN$2,0,0,ROW()-1,60),ROW()-1,FALSE))</f>
        <v>571.80600000000004</v>
      </c>
      <c r="R10">
        <f ca="1">IF(AND($B$28=1,LEN($R$31)&gt;0),$R$31*1000,HLOOKUP(INDIRECT(ADDRESS(2,COLUMN())),OFFSET($BN$2,0,0,ROW()-1,60),ROW()-1,FALSE))</f>
        <v>573.81600000000003</v>
      </c>
      <c r="S10">
        <f ca="1">IF(AND($B$28=1,LEN($S$31)&gt;0),$S$31*1000,HLOOKUP(INDIRECT(ADDRESS(2,COLUMN())),OFFSET($BN$2,0,0,ROW()-1,60),ROW()-1,FALSE))</f>
        <v>393.267</v>
      </c>
      <c r="T10">
        <f ca="1">IF(AND($B$28=1,LEN($T$31)&gt;0),$T$31*1000,HLOOKUP(INDIRECT(ADDRESS(2,COLUMN())),OFFSET($BN$2,0,0,ROW()-1,60),ROW()-1,FALSE))</f>
        <v>183.74799999999999</v>
      </c>
      <c r="U10">
        <f ca="1">IF(AND($B$28=1,LEN($U$31)&gt;0),$U$31*1000,HLOOKUP(INDIRECT(ADDRESS(2,COLUMN())),OFFSET($BN$2,0,0,ROW()-1,60),ROW()-1,FALSE))</f>
        <v>71.132000000000005</v>
      </c>
      <c r="V10">
        <f ca="1">IF(AND($B$28=1,LEN($V$31)&gt;0),$V$31*1000,HLOOKUP(INDIRECT(ADDRESS(2,COLUMN())),OFFSET($BN$2,0,0,ROW()-1,60),ROW()-1,FALSE))</f>
        <v>360.45499999999998</v>
      </c>
      <c r="W10">
        <f ca="1">IF(AND($B$28=1,LEN($W$31)&gt;0),$W$31*1000,HLOOKUP(INDIRECT(ADDRESS(2,COLUMN())),OFFSET($BN$2,0,0,ROW()-1,60),ROW()-1,FALSE))</f>
        <v>267.49099999999999</v>
      </c>
      <c r="X10">
        <f ca="1">IF(AND($B$28=1,LEN($X$31)&gt;0),$X$31*1000,HLOOKUP(INDIRECT(ADDRESS(2,COLUMN())),OFFSET($BN$2,0,0,ROW()-1,60),ROW()-1,FALSE))</f>
        <v>183.49600000000001</v>
      </c>
      <c r="Y10">
        <f ca="1">IF(AND($B$28=1,LEN($Y$31)&gt;0),$Y$31*1000,HLOOKUP(INDIRECT(ADDRESS(2,COLUMN())),OFFSET($BN$2,0,0,ROW()-1,60),ROW()-1,FALSE))</f>
        <v>370.32299999999998</v>
      </c>
      <c r="Z10">
        <f ca="1">IF(AND($B$28=1,LEN($Z$31)&gt;0),$Z$31*1000,HLOOKUP(INDIRECT(ADDRESS(2,COLUMN())),OFFSET($BN$2,0,0,ROW()-1,60),ROW()-1,FALSE))</f>
        <v>562.16700000000003</v>
      </c>
      <c r="AA10">
        <f ca="1">IF(AND($B$28=1,LEN($AA$31)&gt;0),$AA$31*1000,HLOOKUP(INDIRECT(ADDRESS(2,COLUMN())),OFFSET($BN$2,0,0,ROW()-1,60),ROW()-1,FALSE))</f>
        <v>254.56200000000001</v>
      </c>
      <c r="AB10">
        <f ca="1">IF(AND($B$28=1,LEN($AB$31)&gt;0),$AB$31*1000,HLOOKUP(INDIRECT(ADDRESS(2,COLUMN())),OFFSET($BN$2,0,0,ROW()-1,60),ROW()-1,FALSE))</f>
        <v>271.69200000000001</v>
      </c>
      <c r="AC10">
        <f ca="1">IF(AND($B$28=1,LEN($AC$31)&gt;0),$AC$31*1000,HLOOKUP(INDIRECT(ADDRESS(2,COLUMN())),OFFSET($BN$2,0,0,ROW()-1,60),ROW()-1,FALSE))</f>
        <v>199.85499999999999</v>
      </c>
      <c r="AD10">
        <f ca="1">IF(AND($B$28=1,LEN($AD$31)&gt;0),$AD$31*1000,HLOOKUP(INDIRECT(ADDRESS(2,COLUMN())),OFFSET($BN$2,0,0,ROW()-1,60),ROW()-1,FALSE))</f>
        <v>163.72300000000001</v>
      </c>
      <c r="AE10">
        <f ca="1">IF(AND($B$28=1,LEN($AE$31)&gt;0),$AE$31*1000,HLOOKUP(INDIRECT(ADDRESS(2,COLUMN())),OFFSET($BN$2,0,0,ROW()-1,60),ROW()-1,FALSE))</f>
        <v>21.22</v>
      </c>
      <c r="AF10">
        <f ca="1">IF(AND($B$28=1,LEN($AF$31)&gt;0),$AF$31*1000,HLOOKUP(INDIRECT(ADDRESS(2,COLUMN())),OFFSET($BN$2,0,0,ROW()-1,60),ROW()-1,FALSE))</f>
        <v>173.93799999999999</v>
      </c>
      <c r="AG10">
        <f ca="1">IF(AND($B$28=1,LEN($AG$31)&gt;0),$AG$31*1000,HLOOKUP(INDIRECT(ADDRESS(2,COLUMN())),OFFSET($BN$2,0,0,ROW()-1,60),ROW()-1,FALSE))</f>
        <v>35.177999999999997</v>
      </c>
      <c r="AH10">
        <f ca="1">IF(AND($B$28=1,LEN($AH$31)&gt;0),$AH$31*1000,HLOOKUP(INDIRECT(ADDRESS(2,COLUMN())),OFFSET($BN$2,0,0,ROW()-1,60),ROW()-1,FALSE))</f>
        <v>162.71700000000001</v>
      </c>
      <c r="AI10">
        <f ca="1">IF(AND($B$28=1,LEN($AI$31)&gt;0),$AI$31*1000,HLOOKUP(INDIRECT(ADDRESS(2,COLUMN())),OFFSET($BN$2,0,0,ROW()-1,60),ROW()-1,FALSE))</f>
        <v>101.914</v>
      </c>
      <c r="AJ10">
        <f ca="1">IF(AND($B$28=1,LEN($AJ$31)&gt;0),$AJ$31*1000,HLOOKUP(INDIRECT(ADDRESS(2,COLUMN())),OFFSET($BN$2,0,0,ROW()-1,60),ROW()-1,FALSE))</f>
        <v>145.452</v>
      </c>
      <c r="AK10">
        <f ca="1">IF(AND($B$28=1,LEN($AK$31)&gt;0),$AK$31*1000,HLOOKUP(INDIRECT(ADDRESS(2,COLUMN())),OFFSET($BN$2,0,0,ROW()-1,60),ROW()-1,FALSE))</f>
        <v>53.441000000000003</v>
      </c>
      <c r="AL10">
        <f ca="1">IF(AND($B$28=1,LEN($AL$31)&gt;0),$AL$31*1000,HLOOKUP(INDIRECT(ADDRESS(2,COLUMN())),OFFSET($BN$2,0,0,ROW()-1,60),ROW()-1,FALSE))</f>
        <v>92.388999999999996</v>
      </c>
      <c r="AM10">
        <f ca="1">IF(AND($B$28=1,LEN($AM$31)&gt;0),$AM$31*1000,HLOOKUP(INDIRECT(ADDRESS(2,COLUMN())),OFFSET($BN$2,0,0,ROW()-1,60),ROW()-1,FALSE))</f>
        <v>34.593000000000004</v>
      </c>
      <c r="AN10">
        <f ca="1">IF(AND($B$28=1,LEN($AN$31)&gt;0),$AN$31*1000,HLOOKUP(INDIRECT(ADDRESS(2,COLUMN())),OFFSET($BN$2,0,0,ROW()-1,60),ROW()-1,FALSE))</f>
        <v>187.66</v>
      </c>
      <c r="AO10">
        <f ca="1">IF(AND($B$28=1,LEN($AO$31)&gt;0),$AO$31*1000,HLOOKUP(INDIRECT(ADDRESS(2,COLUMN())),OFFSET($BN$2,0,0,ROW()-1,60),ROW()-1,FALSE))</f>
        <v>247.583</v>
      </c>
      <c r="AP10">
        <f ca="1">IF(AND($B$28=1,LEN($AP$31)&gt;0),$AP$31*1000,HLOOKUP(INDIRECT(ADDRESS(2,COLUMN())),OFFSET($BN$2,0,0,ROW()-1,60),ROW()-1,FALSE))</f>
        <v>119.059</v>
      </c>
      <c r="AQ10">
        <f ca="1">IF(AND($B$28=1,LEN($AQ$31)&gt;0),$AQ$31*1000,HLOOKUP(INDIRECT(ADDRESS(2,COLUMN())),OFFSET($BN$2,0,0,ROW()-1,60),ROW()-1,FALSE))</f>
        <v>187.5</v>
      </c>
      <c r="AR10">
        <f ca="1">IF(AND($B$28=1,LEN($AR$31)&gt;0),$AR$31*1000,HLOOKUP(INDIRECT(ADDRESS(2,COLUMN())),OFFSET($BN$2,0,0,ROW()-1,60),ROW()-1,FALSE))</f>
        <v>784.65099999999995</v>
      </c>
      <c r="AS10">
        <f ca="1">IF(AND($B$28=1,LEN($AS$31)&gt;0),$AS$31*1000,HLOOKUP(INDIRECT(ADDRESS(2,COLUMN())),OFFSET($BN$2,0,0,ROW()-1,60),ROW()-1,FALSE))</f>
        <v>36.049999999999997</v>
      </c>
      <c r="AT10">
        <f ca="1">IF(AND($B$28=1,LEN($AT$31)&gt;0),$AT$31*1000,HLOOKUP(INDIRECT(ADDRESS(2,COLUMN())),OFFSET($BN$2,0,0,ROW()-1,60),ROW()-1,FALSE))</f>
        <v>50.825000000000003</v>
      </c>
      <c r="AU10">
        <f ca="1">IF(AND($B$28=1,LEN($AU$31)&gt;0),$AU$31*1000,HLOOKUP(INDIRECT(ADDRESS(2,COLUMN())),OFFSET($BN$2,0,0,ROW()-1,60),ROW()-1,FALSE))</f>
        <v>556.322</v>
      </c>
      <c r="AV10">
        <f ca="1">IF(AND($B$28=1,LEN($AV$31)&gt;0),$AV$31*1000,HLOOKUP(INDIRECT(ADDRESS(2,COLUMN())),OFFSET($BN$2,0,0,ROW()-1,60),ROW()-1,FALSE))</f>
        <v>375.22500000000002</v>
      </c>
      <c r="AW10">
        <f ca="1">IF(AND($B$28=1,LEN($AW$31)&gt;0),$AW$31*1000,HLOOKUP(INDIRECT(ADDRESS(2,COLUMN())),OFFSET($BN$2,0,0,ROW()-1,60),ROW()-1,FALSE))</f>
        <v>363.78300000000002</v>
      </c>
      <c r="AX10">
        <f ca="1">IF(AND($B$28=1,LEN($AX$31)&gt;0),$AX$31*1000,HLOOKUP(INDIRECT(ADDRESS(2,COLUMN())),OFFSET($BN$2,0,0,ROW()-1,60),ROW()-1,FALSE))</f>
        <v>435.62299999999999</v>
      </c>
      <c r="AY10">
        <f ca="1">IF(AND($B$28=1,LEN($AY$31)&gt;0),$AY$31*1000,HLOOKUP(INDIRECT(ADDRESS(2,COLUMN())),OFFSET($BN$2,0,0,ROW()-1,60),ROW()-1,FALSE))</f>
        <v>126.312</v>
      </c>
      <c r="AZ10">
        <f ca="1">IF(AND($B$28=1,LEN($AZ$31)&gt;0),$AZ$31*1000,HLOOKUP(INDIRECT(ADDRESS(2,COLUMN())),OFFSET($BN$2,0,0,ROW()-1,60),ROW()-1,FALSE))</f>
        <v>68.290999999999997</v>
      </c>
      <c r="BA10">
        <f ca="1">IF(AND($B$28=1,LEN($BA$31)&gt;0),$BA$31*1000,HLOOKUP(INDIRECT(ADDRESS(2,COLUMN())),OFFSET($BN$2,0,0,ROW()-1,60),ROW()-1,FALSE))</f>
        <v>119.702</v>
      </c>
      <c r="BB10">
        <f ca="1">IF(AND($B$28=1,LEN($BB$31)&gt;0),$BB$31*1000,HLOOKUP(INDIRECT(ADDRESS(2,COLUMN())),OFFSET($BN$2,0,0,ROW()-1,60),ROW()-1,FALSE))</f>
        <v>31.35</v>
      </c>
      <c r="BC10">
        <f ca="1">IF(AND($B$28=1,LEN($BC$31)&gt;0),$BC$31*1000,HLOOKUP(INDIRECT(ADDRESS(2,COLUMN())),OFFSET($BN$2,0,0,ROW()-1,60),ROW()-1,FALSE))</f>
        <v>74.834999999999994</v>
      </c>
      <c r="BD10">
        <f ca="1">IF(AND($B$28=1,LEN($BD$31)&gt;0),$BD$31*1000,HLOOKUP(INDIRECT(ADDRESS(2,COLUMN())),OFFSET($BN$2,0,0,ROW()-1,60),ROW()-1,FALSE))</f>
        <v>38.683</v>
      </c>
      <c r="BE10">
        <f ca="1">IF(AND($B$28=1,LEN($BE$31)&gt;0),$BE$31*1000,HLOOKUP(INDIRECT(ADDRESS(2,COLUMN())),OFFSET($BN$2,0,0,ROW()-1,60),ROW()-1,FALSE))</f>
        <v>140.643</v>
      </c>
      <c r="BF10">
        <f ca="1">IF(AND($B$28=1,LEN($BF$31)&gt;0),$BF$31*1000,HLOOKUP(INDIRECT(ADDRESS(2,COLUMN())),OFFSET($BN$2,0,0,ROW()-1,60),ROW()-1,FALSE))</f>
        <v>38.020000000000003</v>
      </c>
      <c r="BG10">
        <f ca="1">IF(AND($B$28=1,LEN($BG$31)&gt;0),$BG$31*1000,HLOOKUP(INDIRECT(ADDRESS(2,COLUMN())),OFFSET($BN$2,0,0,ROW()-1,60),ROW()-1,FALSE))</f>
        <v>4.5519999999999996</v>
      </c>
      <c r="BH10">
        <f ca="1">IF(AND($B$28=1,LEN($BH$31)&gt;0),$BH$31*1000,HLOOKUP(INDIRECT(ADDRESS(2,COLUMN())),OFFSET($BN$2,0,0,ROW()-1,60),ROW()-1,FALSE))</f>
        <v>14.005000000000001</v>
      </c>
      <c r="BI10">
        <f ca="1">IF(AND($B$28=1,LEN($BI$31)&gt;0),$BI$31*1000,HLOOKUP(INDIRECT(ADDRESS(2,COLUMN())),OFFSET($BN$2,0,0,ROW()-1,60),ROW()-1,FALSE))</f>
        <v>131.81399999999999</v>
      </c>
      <c r="BJ10">
        <f ca="1">IF(AND($B$28=1,LEN($BJ$31)&gt;0),$BJ$31*1000,HLOOKUP(INDIRECT(ADDRESS(2,COLUMN())),OFFSET($BN$2,0,0,ROW()-1,60),ROW()-1,FALSE))</f>
        <v>77.8</v>
      </c>
      <c r="BK10">
        <f ca="1">IF(AND($B$28=1,LEN($BK$31)&gt;0),$BK$31*1000,HLOOKUP(INDIRECT(ADDRESS(2,COLUMN())),OFFSET($BN$2,0,0,ROW()-1,60),ROW()-1,FALSE))</f>
        <v>0</v>
      </c>
      <c r="BL10">
        <f ca="1">IF(AND($B$28=1,LEN($BL$31)&gt;0),$BL$31*1000,HLOOKUP(INDIRECT(ADDRESS(2,COLUMN())),OFFSET($BN$2,0,0,ROW()-1,60),ROW()-1,FALSE))</f>
        <v>0</v>
      </c>
      <c r="BM10">
        <f ca="1">IF(AND($B$28=1,LEN($BM$31)&gt;0),$BM$31*1000,HLOOKUP(INDIRECT(ADDRESS(2,COLUMN())),OFFSET($BN$2,0,0,ROW()-1,60),ROW()-1,FALSE))</f>
        <v>0</v>
      </c>
      <c r="BN10">
        <f>879.326</f>
        <v>879.32600000000002</v>
      </c>
      <c r="BO10">
        <f>618.636</f>
        <v>618.63599999999997</v>
      </c>
      <c r="BP10">
        <f>399.376</f>
        <v>399.37599999999998</v>
      </c>
      <c r="BQ10">
        <f>3521.2</f>
        <v>3521.2</v>
      </c>
      <c r="BR10">
        <f>2296.592</f>
        <v>2296.5920000000001</v>
      </c>
      <c r="BS10">
        <f>619.448</f>
        <v>619.44799999999998</v>
      </c>
      <c r="BT10">
        <f>749.92</f>
        <v>749.92</v>
      </c>
      <c r="BU10">
        <f>206.039</f>
        <v>206.03899999999999</v>
      </c>
      <c r="BV10">
        <f>752.052</f>
        <v>752.05200000000002</v>
      </c>
      <c r="BW10">
        <f>279.379</f>
        <v>279.37900000000002</v>
      </c>
      <c r="BX10">
        <f>809.643</f>
        <v>809.64300000000003</v>
      </c>
      <c r="BY10">
        <f>571.806</f>
        <v>571.80600000000004</v>
      </c>
      <c r="BZ10">
        <f>573.816</f>
        <v>573.81600000000003</v>
      </c>
      <c r="CA10">
        <f>393.267</f>
        <v>393.267</v>
      </c>
      <c r="CB10">
        <f>183.748</f>
        <v>183.74799999999999</v>
      </c>
      <c r="CC10">
        <f>71.132</f>
        <v>71.132000000000005</v>
      </c>
      <c r="CD10">
        <f>360.455</f>
        <v>360.45499999999998</v>
      </c>
      <c r="CE10">
        <f>267.491</f>
        <v>267.49099999999999</v>
      </c>
      <c r="CF10">
        <f>183.496</f>
        <v>183.49600000000001</v>
      </c>
      <c r="CG10">
        <f>370.323</f>
        <v>370.32299999999998</v>
      </c>
      <c r="CH10">
        <f>562.167</f>
        <v>562.16700000000003</v>
      </c>
      <c r="CI10">
        <f>254.562</f>
        <v>254.56200000000001</v>
      </c>
      <c r="CJ10">
        <f>271.692</f>
        <v>271.69200000000001</v>
      </c>
      <c r="CK10">
        <f>199.855</f>
        <v>199.85499999999999</v>
      </c>
      <c r="CL10">
        <f>163.723</f>
        <v>163.72300000000001</v>
      </c>
      <c r="CM10">
        <f>21.22</f>
        <v>21.22</v>
      </c>
      <c r="CN10">
        <f>173.938</f>
        <v>173.93799999999999</v>
      </c>
      <c r="CO10">
        <f>35.178</f>
        <v>35.177999999999997</v>
      </c>
      <c r="CP10">
        <f>162.717</f>
        <v>162.71700000000001</v>
      </c>
      <c r="CQ10">
        <f>101.914</f>
        <v>101.914</v>
      </c>
      <c r="CR10">
        <f>145.452</f>
        <v>145.452</v>
      </c>
      <c r="CS10">
        <f>53.441</f>
        <v>53.441000000000003</v>
      </c>
      <c r="CT10">
        <f>92.389</f>
        <v>92.388999999999996</v>
      </c>
      <c r="CU10">
        <f>34.593</f>
        <v>34.593000000000004</v>
      </c>
      <c r="CV10">
        <f>187.66</f>
        <v>187.66</v>
      </c>
      <c r="CW10">
        <f>247.583</f>
        <v>247.583</v>
      </c>
      <c r="CX10">
        <f>119.059</f>
        <v>119.059</v>
      </c>
      <c r="CY10">
        <f>187.5</f>
        <v>187.5</v>
      </c>
      <c r="CZ10">
        <f>784.651</f>
        <v>784.65099999999995</v>
      </c>
      <c r="DA10">
        <f>36.05</f>
        <v>36.049999999999997</v>
      </c>
      <c r="DB10">
        <f>50.825</f>
        <v>50.825000000000003</v>
      </c>
      <c r="DC10">
        <f>556.322</f>
        <v>556.322</v>
      </c>
      <c r="DD10">
        <f>375.225</f>
        <v>375.22500000000002</v>
      </c>
      <c r="DE10">
        <f>363.783</f>
        <v>363.78300000000002</v>
      </c>
      <c r="DF10">
        <f>435.623</f>
        <v>435.62299999999999</v>
      </c>
      <c r="DG10">
        <f>126.312</f>
        <v>126.312</v>
      </c>
      <c r="DH10">
        <f>68.291</f>
        <v>68.290999999999997</v>
      </c>
      <c r="DI10">
        <f>119.702</f>
        <v>119.702</v>
      </c>
      <c r="DJ10">
        <f>31.35</f>
        <v>31.35</v>
      </c>
      <c r="DK10">
        <f>74.835</f>
        <v>74.834999999999994</v>
      </c>
      <c r="DL10">
        <f>38.683</f>
        <v>38.683</v>
      </c>
      <c r="DM10">
        <f>140.643</f>
        <v>140.643</v>
      </c>
      <c r="DN10">
        <f>38.02</f>
        <v>38.020000000000003</v>
      </c>
      <c r="DO10">
        <f>4.552</f>
        <v>4.5519999999999996</v>
      </c>
      <c r="DP10">
        <f>14.005</f>
        <v>14.005000000000001</v>
      </c>
      <c r="DQ10">
        <f>131.814</f>
        <v>131.81399999999999</v>
      </c>
      <c r="DR10">
        <f>77.8</f>
        <v>77.8</v>
      </c>
      <c r="DS10">
        <f>0</f>
        <v>0</v>
      </c>
      <c r="DT10">
        <f>0</f>
        <v>0</v>
      </c>
      <c r="DU10">
        <f>0</f>
        <v>0</v>
      </c>
    </row>
    <row r="11" spans="1:125">
      <c r="A11" t="str">
        <f>"    医疗保健房地产投资信托净收购"</f>
        <v xml:space="preserve">    医疗保健房地产投资信托净收购</v>
      </c>
      <c r="B11" t="str">
        <f>"RECFNAHC Index"</f>
        <v>RECFNAHC Index</v>
      </c>
      <c r="E11" t="str">
        <f>"Expression"</f>
        <v>Expression</v>
      </c>
      <c r="F11">
        <f ca="1">IF(AND($B$28=1,LEN($F$32)&gt;0),$F$32*1000,HLOOKUP(INDIRECT(ADDRESS(2,COLUMN())),OFFSET($BN$2,0,0,ROW()-1,60),ROW()-1,FALSE))</f>
        <v>359.40899999999999</v>
      </c>
      <c r="G11">
        <f ca="1">IF(AND($B$28=1,LEN($G$32)&gt;0),$G$32*1000,HLOOKUP(INDIRECT(ADDRESS(2,COLUMN())),OFFSET($BN$2,0,0,ROW()-1,60),ROW()-1,FALSE))</f>
        <v>1758.008</v>
      </c>
      <c r="H11">
        <f ca="1">IF(AND($B$28=1,LEN($H$32)&gt;0),$H$32*1000,HLOOKUP(INDIRECT(ADDRESS(2,COLUMN())),OFFSET($BN$2,0,0,ROW()-1,60),ROW()-1,FALSE))</f>
        <v>4301.8059999999996</v>
      </c>
      <c r="I11">
        <f ca="1">IF(AND($B$28=1,LEN($I$32)&gt;0),$I$32*1000,HLOOKUP(INDIRECT(ADDRESS(2,COLUMN())),OFFSET($BN$2,0,0,ROW()-1,60),ROW()-1,FALSE))</f>
        <v>-2428.2840000000001</v>
      </c>
      <c r="J11">
        <f ca="1">IF(AND($B$28=1,LEN($J$32)&gt;0),$J$32*1000,HLOOKUP(INDIRECT(ADDRESS(2,COLUMN())),OFFSET($BN$2,0,0,ROW()-1,60),ROW()-1,FALSE))</f>
        <v>1899.96</v>
      </c>
      <c r="K11">
        <f ca="1">IF(AND($B$28=1,LEN($K$32)&gt;0),$K$32*1000,HLOOKUP(INDIRECT(ADDRESS(2,COLUMN())),OFFSET($BN$2,0,0,ROW()-1,60),ROW()-1,FALSE))</f>
        <v>3357.0720000000001</v>
      </c>
      <c r="L11">
        <f ca="1">IF(AND($B$28=1,LEN($L$32)&gt;0),$L$32*1000,HLOOKUP(INDIRECT(ADDRESS(2,COLUMN())),OFFSET($BN$2,0,0,ROW()-1,60),ROW()-1,FALSE))</f>
        <v>1341.0820000000001</v>
      </c>
      <c r="M11">
        <f ca="1">IF(AND($B$28=1,LEN($M$32)&gt;0),$M$32*1000,HLOOKUP(INDIRECT(ADDRESS(2,COLUMN())),OFFSET($BN$2,0,0,ROW()-1,60),ROW()-1,FALSE))</f>
        <v>1150.21</v>
      </c>
      <c r="N11">
        <f ca="1">IF(AND($B$28=1,LEN($N$32)&gt;0),$N$32*1000,HLOOKUP(INDIRECT(ADDRESS(2,COLUMN())),OFFSET($BN$2,0,0,ROW()-1,60),ROW()-1,FALSE))</f>
        <v>1561.32</v>
      </c>
      <c r="O11">
        <f ca="1">IF(AND($B$28=1,LEN($O$32)&gt;0),$O$32*1000,HLOOKUP(INDIRECT(ADDRESS(2,COLUMN())),OFFSET($BN$2,0,0,ROW()-1,60),ROW()-1,FALSE))</f>
        <v>4377.8789999999999</v>
      </c>
      <c r="P11">
        <f ca="1">IF(AND($B$28=1,LEN($P$32)&gt;0),$P$32*1000,HLOOKUP(INDIRECT(ADDRESS(2,COLUMN())),OFFSET($BN$2,0,0,ROW()-1,60),ROW()-1,FALSE))</f>
        <v>7637.134</v>
      </c>
      <c r="Q11">
        <f ca="1">IF(AND($B$28=1,LEN($Q$32)&gt;0),$Q$32*1000,HLOOKUP(INDIRECT(ADDRESS(2,COLUMN())),OFFSET($BN$2,0,0,ROW()-1,60),ROW()-1,FALSE))</f>
        <v>6300.1450000000004</v>
      </c>
      <c r="R11">
        <f ca="1">IF(AND($B$28=1,LEN($R$32)&gt;0),$R$32*1000,HLOOKUP(INDIRECT(ADDRESS(2,COLUMN())),OFFSET($BN$2,0,0,ROW()-1,60),ROW()-1,FALSE))</f>
        <v>2491.3580000000002</v>
      </c>
      <c r="S11">
        <f ca="1">IF(AND($B$28=1,LEN($S$32)&gt;0),$S$32*1000,HLOOKUP(INDIRECT(ADDRESS(2,COLUMN())),OFFSET($BN$2,0,0,ROW()-1,60),ROW()-1,FALSE))</f>
        <v>2856.1309999999999</v>
      </c>
      <c r="T11">
        <f ca="1">IF(AND($B$28=1,LEN($T$32)&gt;0),$T$32*1000,HLOOKUP(INDIRECT(ADDRESS(2,COLUMN())),OFFSET($BN$2,0,0,ROW()-1,60),ROW()-1,FALSE))</f>
        <v>2487.3409999999999</v>
      </c>
      <c r="U11">
        <f ca="1">IF(AND($B$28=1,LEN($U$32)&gt;0),$U$32*1000,HLOOKUP(INDIRECT(ADDRESS(2,COLUMN())),OFFSET($BN$2,0,0,ROW()-1,60),ROW()-1,FALSE))</f>
        <v>1179.4380000000001</v>
      </c>
      <c r="V11">
        <f ca="1">IF(AND($B$28=1,LEN($V$32)&gt;0),$V$32*1000,HLOOKUP(INDIRECT(ADDRESS(2,COLUMN())),OFFSET($BN$2,0,0,ROW()-1,60),ROW()-1,FALSE))</f>
        <v>1924.3969999999999</v>
      </c>
      <c r="W11">
        <f ca="1">IF(AND($B$28=1,LEN($W$32)&gt;0),$W$32*1000,HLOOKUP(INDIRECT(ADDRESS(2,COLUMN())),OFFSET($BN$2,0,0,ROW()-1,60),ROW()-1,FALSE))</f>
        <v>2764.7280000000001</v>
      </c>
      <c r="X11">
        <f ca="1">IF(AND($B$28=1,LEN($X$32)&gt;0),$X$32*1000,HLOOKUP(INDIRECT(ADDRESS(2,COLUMN())),OFFSET($BN$2,0,0,ROW()-1,60),ROW()-1,FALSE))</f>
        <v>1809.4580000000001</v>
      </c>
      <c r="Y11">
        <f ca="1">IF(AND($B$28=1,LEN($Y$32)&gt;0),$Y$32*1000,HLOOKUP(INDIRECT(ADDRESS(2,COLUMN())),OFFSET($BN$2,0,0,ROW()-1,60),ROW()-1,FALSE))</f>
        <v>2501.1469999999999</v>
      </c>
      <c r="Z11">
        <f ca="1">IF(AND($B$28=1,LEN($Z$32)&gt;0),$Z$32*1000,HLOOKUP(INDIRECT(ADDRESS(2,COLUMN())),OFFSET($BN$2,0,0,ROW()-1,60),ROW()-1,FALSE))</f>
        <v>4505.5309999999999</v>
      </c>
      <c r="AA11">
        <f ca="1">IF(AND($B$28=1,LEN($AA$32)&gt;0),$AA$32*1000,HLOOKUP(INDIRECT(ADDRESS(2,COLUMN())),OFFSET($BN$2,0,0,ROW()-1,60),ROW()-1,FALSE))</f>
        <v>2113.7060000000001</v>
      </c>
      <c r="AB11">
        <f ca="1">IF(AND($B$28=1,LEN($AB$32)&gt;0),$AB$32*1000,HLOOKUP(INDIRECT(ADDRESS(2,COLUMN())),OFFSET($BN$2,0,0,ROW()-1,60),ROW()-1,FALSE))</f>
        <v>1676.0940000000001</v>
      </c>
      <c r="AC11">
        <f ca="1">IF(AND($B$28=1,LEN($AC$32)&gt;0),$AC$32*1000,HLOOKUP(INDIRECT(ADDRESS(2,COLUMN())),OFFSET($BN$2,0,0,ROW()-1,60),ROW()-1,FALSE))</f>
        <v>1019.27</v>
      </c>
      <c r="AD11">
        <f ca="1">IF(AND($B$28=1,LEN($AD$32)&gt;0),$AD$32*1000,HLOOKUP(INDIRECT(ADDRESS(2,COLUMN())),OFFSET($BN$2,0,0,ROW()-1,60),ROW()-1,FALSE))</f>
        <v>5537.009</v>
      </c>
      <c r="AE11">
        <f ca="1">IF(AND($B$28=1,LEN($AE$32)&gt;0),$AE$32*1000,HLOOKUP(INDIRECT(ADDRESS(2,COLUMN())),OFFSET($BN$2,0,0,ROW()-1,60),ROW()-1,FALSE))</f>
        <v>8663.4699999999993</v>
      </c>
      <c r="AF11">
        <f ca="1">IF(AND($B$28=1,LEN($AF$32)&gt;0),$AF$32*1000,HLOOKUP(INDIRECT(ADDRESS(2,COLUMN())),OFFSET($BN$2,0,0,ROW()-1,60),ROW()-1,FALSE))</f>
        <v>12520.147999999999</v>
      </c>
      <c r="AG11">
        <f ca="1">IF(AND($B$28=1,LEN($AG$32)&gt;0),$AG$32*1000,HLOOKUP(INDIRECT(ADDRESS(2,COLUMN())),OFFSET($BN$2,0,0,ROW()-1,60),ROW()-1,FALSE))</f>
        <v>2309.87</v>
      </c>
      <c r="AH11">
        <f ca="1">IF(AND($B$28=1,LEN($AH$32)&gt;0),$AH$32*1000,HLOOKUP(INDIRECT(ADDRESS(2,COLUMN())),OFFSET($BN$2,0,0,ROW()-1,60),ROW()-1,FALSE))</f>
        <v>2489.0349999999999</v>
      </c>
      <c r="AI11">
        <f ca="1">IF(AND($B$28=1,LEN($AI$32)&gt;0),$AI$32*1000,HLOOKUP(INDIRECT(ADDRESS(2,COLUMN())),OFFSET($BN$2,0,0,ROW()-1,60),ROW()-1,FALSE))</f>
        <v>1238.741</v>
      </c>
      <c r="AJ11">
        <f ca="1">IF(AND($B$28=1,LEN($AJ$32)&gt;0),$AJ$32*1000,HLOOKUP(INDIRECT(ADDRESS(2,COLUMN())),OFFSET($BN$2,0,0,ROW()-1,60),ROW()-1,FALSE))</f>
        <v>1021.092</v>
      </c>
      <c r="AK11">
        <f ca="1">IF(AND($B$28=1,LEN($AK$32)&gt;0),$AK$32*1000,HLOOKUP(INDIRECT(ADDRESS(2,COLUMN())),OFFSET($BN$2,0,0,ROW()-1,60),ROW()-1,FALSE))</f>
        <v>961.83699999999999</v>
      </c>
      <c r="AL11">
        <f ca="1">IF(AND($B$28=1,LEN($AL$32)&gt;0),$AL$32*1000,HLOOKUP(INDIRECT(ADDRESS(2,COLUMN())),OFFSET($BN$2,0,0,ROW()-1,60),ROW()-1,FALSE))</f>
        <v>557.14200000000005</v>
      </c>
      <c r="AM11">
        <f ca="1">IF(AND($B$28=1,LEN($AM$32)&gt;0),$AM$32*1000,HLOOKUP(INDIRECT(ADDRESS(2,COLUMN())),OFFSET($BN$2,0,0,ROW()-1,60),ROW()-1,FALSE))</f>
        <v>319.37200000000001</v>
      </c>
      <c r="AN11">
        <f ca="1">IF(AND($B$28=1,LEN($AN$32)&gt;0),$AN$32*1000,HLOOKUP(INDIRECT(ADDRESS(2,COLUMN())),OFFSET($BN$2,0,0,ROW()-1,60),ROW()-1,FALSE))</f>
        <v>-93.188999999999993</v>
      </c>
      <c r="AO11">
        <f ca="1">IF(AND($B$28=1,LEN($AO$32)&gt;0),$AO$32*1000,HLOOKUP(INDIRECT(ADDRESS(2,COLUMN())),OFFSET($BN$2,0,0,ROW()-1,60),ROW()-1,FALSE))</f>
        <v>-213.233</v>
      </c>
      <c r="AP11">
        <f ca="1">IF(AND($B$28=1,LEN($AP$32)&gt;0),$AP$32*1000,HLOOKUP(INDIRECT(ADDRESS(2,COLUMN())),OFFSET($BN$2,0,0,ROW()-1,60),ROW()-1,FALSE))</f>
        <v>153.90700000000001</v>
      </c>
      <c r="AQ11">
        <f ca="1">IF(AND($B$28=1,LEN($AQ$32)&gt;0),$AQ$32*1000,HLOOKUP(INDIRECT(ADDRESS(2,COLUMN())),OFFSET($BN$2,0,0,ROW()-1,60),ROW()-1,FALSE))</f>
        <v>435.733</v>
      </c>
      <c r="AR11">
        <f ca="1">IF(AND($B$28=1,LEN($AR$32)&gt;0),$AR$32*1000,HLOOKUP(INDIRECT(ADDRESS(2,COLUMN())),OFFSET($BN$2,0,0,ROW()-1,60),ROW()-1,FALSE))</f>
        <v>-107.75700000000001</v>
      </c>
      <c r="AS11">
        <f ca="1">IF(AND($B$28=1,LEN($AS$32)&gt;0),$AS$32*1000,HLOOKUP(INDIRECT(ADDRESS(2,COLUMN())),OFFSET($BN$2,0,0,ROW()-1,60),ROW()-1,FALSE))</f>
        <v>376.13400000000001</v>
      </c>
      <c r="AT11">
        <f ca="1">IF(AND($B$28=1,LEN($AT$32)&gt;0),$AT$32*1000,HLOOKUP(INDIRECT(ADDRESS(2,COLUMN())),OFFSET($BN$2,0,0,ROW()-1,60),ROW()-1,FALSE))</f>
        <v>215.14400000000001</v>
      </c>
      <c r="AU11">
        <f ca="1">IF(AND($B$28=1,LEN($AU$32)&gt;0),$AU$32*1000,HLOOKUP(INDIRECT(ADDRESS(2,COLUMN())),OFFSET($BN$2,0,0,ROW()-1,60),ROW()-1,FALSE))</f>
        <v>-121.113</v>
      </c>
      <c r="AV11">
        <f ca="1">IF(AND($B$28=1,LEN($AV$32)&gt;0),$AV$32*1000,HLOOKUP(INDIRECT(ADDRESS(2,COLUMN())),OFFSET($BN$2,0,0,ROW()-1,60),ROW()-1,FALSE))</f>
        <v>2176.7890000000002</v>
      </c>
      <c r="AW11">
        <f ca="1">IF(AND($B$28=1,LEN($AW$32)&gt;0),$AW$32*1000,HLOOKUP(INDIRECT(ADDRESS(2,COLUMN())),OFFSET($BN$2,0,0,ROW()-1,60),ROW()-1,FALSE))</f>
        <v>251.607</v>
      </c>
      <c r="AX11">
        <f ca="1">IF(AND($B$28=1,LEN($AX$32)&gt;0),$AX$32*1000,HLOOKUP(INDIRECT(ADDRESS(2,COLUMN())),OFFSET($BN$2,0,0,ROW()-1,60),ROW()-1,FALSE))</f>
        <v>5729.7690000000002</v>
      </c>
      <c r="AY11">
        <f ca="1">IF(AND($B$28=1,LEN($AY$32)&gt;0),$AY$32*1000,HLOOKUP(INDIRECT(ADDRESS(2,COLUMN())),OFFSET($BN$2,0,0,ROW()-1,60),ROW()-1,FALSE))</f>
        <v>415.18200000000002</v>
      </c>
      <c r="AZ11">
        <f ca="1">IF(AND($B$28=1,LEN($AZ$32)&gt;0),$AZ$32*1000,HLOOKUP(INDIRECT(ADDRESS(2,COLUMN())),OFFSET($BN$2,0,0,ROW()-1,60),ROW()-1,FALSE))</f>
        <v>693.75300000000004</v>
      </c>
      <c r="BA11">
        <f ca="1">IF(AND($B$28=1,LEN($BA$32)&gt;0),$BA$32*1000,HLOOKUP(INDIRECT(ADDRESS(2,COLUMN())),OFFSET($BN$2,0,0,ROW()-1,60),ROW()-1,FALSE))</f>
        <v>501.47899999999998</v>
      </c>
      <c r="BB11">
        <f ca="1">IF(AND($B$28=1,LEN($BB$32)&gt;0),$BB$32*1000,HLOOKUP(INDIRECT(ADDRESS(2,COLUMN())),OFFSET($BN$2,0,0,ROW()-1,60),ROW()-1,FALSE))</f>
        <v>905.34699999999998</v>
      </c>
      <c r="BC11">
        <f ca="1">IF(AND($B$28=1,LEN($BC$32)&gt;0),$BC$32*1000,HLOOKUP(INDIRECT(ADDRESS(2,COLUMN())),OFFSET($BN$2,0,0,ROW()-1,60),ROW()-1,FALSE))</f>
        <v>447.96800000000002</v>
      </c>
      <c r="BD11">
        <f ca="1">IF(AND($B$28=1,LEN($BD$32)&gt;0),$BD$32*1000,HLOOKUP(INDIRECT(ADDRESS(2,COLUMN())),OFFSET($BN$2,0,0,ROW()-1,60),ROW()-1,FALSE))</f>
        <v>1897.62</v>
      </c>
      <c r="BE11">
        <f ca="1">IF(AND($B$28=1,LEN($BE$32)&gt;0),$BE$32*1000,HLOOKUP(INDIRECT(ADDRESS(2,COLUMN())),OFFSET($BN$2,0,0,ROW()-1,60),ROW()-1,FALSE))</f>
        <v>229.98099999999999</v>
      </c>
      <c r="BF11">
        <f ca="1">IF(AND($B$28=1,LEN($BF$32)&gt;0),$BF$32*1000,HLOOKUP(INDIRECT(ADDRESS(2,COLUMN())),OFFSET($BN$2,0,0,ROW()-1,60),ROW()-1,FALSE))</f>
        <v>538.89400000000001</v>
      </c>
      <c r="BG11">
        <f ca="1">IF(AND($B$28=1,LEN($BG$32)&gt;0),$BG$32*1000,HLOOKUP(INDIRECT(ADDRESS(2,COLUMN())),OFFSET($BN$2,0,0,ROW()-1,60),ROW()-1,FALSE))</f>
        <v>468.20800000000003</v>
      </c>
      <c r="BH11">
        <f ca="1">IF(AND($B$28=1,LEN($BH$32)&gt;0),$BH$32*1000,HLOOKUP(INDIRECT(ADDRESS(2,COLUMN())),OFFSET($BN$2,0,0,ROW()-1,60),ROW()-1,FALSE))</f>
        <v>505.33800000000002</v>
      </c>
      <c r="BI11">
        <f ca="1">IF(AND($B$28=1,LEN($BI$32)&gt;0),$BI$32*1000,HLOOKUP(INDIRECT(ADDRESS(2,COLUMN())),OFFSET($BN$2,0,0,ROW()-1,60),ROW()-1,FALSE))</f>
        <v>450.94400000000002</v>
      </c>
      <c r="BJ11">
        <f ca="1">IF(AND($B$28=1,LEN($BJ$32)&gt;0),$BJ$32*1000,HLOOKUP(INDIRECT(ADDRESS(2,COLUMN())),OFFSET($BN$2,0,0,ROW()-1,60),ROW()-1,FALSE))</f>
        <v>-77.8</v>
      </c>
      <c r="BK11">
        <f ca="1">IF(AND($B$28=1,LEN($BK$32)&gt;0),$BK$32*1000,HLOOKUP(INDIRECT(ADDRESS(2,COLUMN())),OFFSET($BN$2,0,0,ROW()-1,60),ROW()-1,FALSE))</f>
        <v>0</v>
      </c>
      <c r="BL11">
        <f ca="1">IF(AND($B$28=1,LEN($BL$32)&gt;0),$BL$32*1000,HLOOKUP(INDIRECT(ADDRESS(2,COLUMN())),OFFSET($BN$2,0,0,ROW()-1,60),ROW()-1,FALSE))</f>
        <v>0</v>
      </c>
      <c r="BM11">
        <f ca="1">IF(AND($B$28=1,LEN($BM$32)&gt;0),$BM$32*1000,HLOOKUP(INDIRECT(ADDRESS(2,COLUMN())),OFFSET($BN$2,0,0,ROW()-1,60),ROW()-1,FALSE))</f>
        <v>0</v>
      </c>
      <c r="BN11">
        <f>359.409</f>
        <v>359.40899999999999</v>
      </c>
      <c r="BO11">
        <f>1758.008</f>
        <v>1758.008</v>
      </c>
      <c r="BP11">
        <f>4301.806</f>
        <v>4301.8059999999996</v>
      </c>
      <c r="BQ11">
        <f>-2428.284</f>
        <v>-2428.2840000000001</v>
      </c>
      <c r="BR11">
        <f>1899.96</f>
        <v>1899.96</v>
      </c>
      <c r="BS11">
        <f>3357.072</f>
        <v>3357.0720000000001</v>
      </c>
      <c r="BT11">
        <f>1341.082</f>
        <v>1341.0820000000001</v>
      </c>
      <c r="BU11">
        <f>1150.21</f>
        <v>1150.21</v>
      </c>
      <c r="BV11">
        <f>1561.32</f>
        <v>1561.32</v>
      </c>
      <c r="BW11">
        <f>4377.879</f>
        <v>4377.8789999999999</v>
      </c>
      <c r="BX11">
        <f>7637.134</f>
        <v>7637.134</v>
      </c>
      <c r="BY11">
        <f>6300.145</f>
        <v>6300.1450000000004</v>
      </c>
      <c r="BZ11">
        <f>2491.358</f>
        <v>2491.3580000000002</v>
      </c>
      <c r="CA11">
        <f>2856.131</f>
        <v>2856.1309999999999</v>
      </c>
      <c r="CB11">
        <f>2487.341</f>
        <v>2487.3409999999999</v>
      </c>
      <c r="CC11">
        <f>1179.438</f>
        <v>1179.4380000000001</v>
      </c>
      <c r="CD11">
        <f>1924.397</f>
        <v>1924.3969999999999</v>
      </c>
      <c r="CE11">
        <f>2764.728</f>
        <v>2764.7280000000001</v>
      </c>
      <c r="CF11">
        <f>1809.458</f>
        <v>1809.4580000000001</v>
      </c>
      <c r="CG11">
        <f>2501.147</f>
        <v>2501.1469999999999</v>
      </c>
      <c r="CH11">
        <f>4505.531</f>
        <v>4505.5309999999999</v>
      </c>
      <c r="CI11">
        <f>2113.706</f>
        <v>2113.7060000000001</v>
      </c>
      <c r="CJ11">
        <f>1676.094</f>
        <v>1676.0940000000001</v>
      </c>
      <c r="CK11">
        <f>1019.27</f>
        <v>1019.27</v>
      </c>
      <c r="CL11">
        <f>5537.009</f>
        <v>5537.009</v>
      </c>
      <c r="CM11">
        <f>8663.47</f>
        <v>8663.4699999999993</v>
      </c>
      <c r="CN11">
        <f>12520.148</f>
        <v>12520.147999999999</v>
      </c>
      <c r="CO11">
        <f>2309.87</f>
        <v>2309.87</v>
      </c>
      <c r="CP11">
        <f>2489.035</f>
        <v>2489.0349999999999</v>
      </c>
      <c r="CQ11">
        <f>1238.741</f>
        <v>1238.741</v>
      </c>
      <c r="CR11">
        <f>1021.092</f>
        <v>1021.092</v>
      </c>
      <c r="CS11">
        <f>961.837</f>
        <v>961.83699999999999</v>
      </c>
      <c r="CT11">
        <f>557.142</f>
        <v>557.14200000000005</v>
      </c>
      <c r="CU11">
        <f>319.372</f>
        <v>319.37200000000001</v>
      </c>
      <c r="CV11">
        <f>-93.189</f>
        <v>-93.188999999999993</v>
      </c>
      <c r="CW11">
        <f>-213.233</f>
        <v>-213.233</v>
      </c>
      <c r="CX11">
        <f>153.907</f>
        <v>153.90700000000001</v>
      </c>
      <c r="CY11">
        <f>435.733</f>
        <v>435.733</v>
      </c>
      <c r="CZ11">
        <f>-107.757</f>
        <v>-107.75700000000001</v>
      </c>
      <c r="DA11">
        <f>376.134</f>
        <v>376.13400000000001</v>
      </c>
      <c r="DB11">
        <f>215.144</f>
        <v>215.14400000000001</v>
      </c>
      <c r="DC11">
        <f>-121.113</f>
        <v>-121.113</v>
      </c>
      <c r="DD11">
        <f>2176.789</f>
        <v>2176.7890000000002</v>
      </c>
      <c r="DE11">
        <f>251.607</f>
        <v>251.607</v>
      </c>
      <c r="DF11">
        <f>5729.769</f>
        <v>5729.7690000000002</v>
      </c>
      <c r="DG11">
        <f>415.182</f>
        <v>415.18200000000002</v>
      </c>
      <c r="DH11">
        <f>693.753</f>
        <v>693.75300000000004</v>
      </c>
      <c r="DI11">
        <f>501.479</f>
        <v>501.47899999999998</v>
      </c>
      <c r="DJ11">
        <f>905.347</f>
        <v>905.34699999999998</v>
      </c>
      <c r="DK11">
        <f>447.968</f>
        <v>447.96800000000002</v>
      </c>
      <c r="DL11">
        <f>1897.62</f>
        <v>1897.62</v>
      </c>
      <c r="DM11">
        <f>229.981</f>
        <v>229.98099999999999</v>
      </c>
      <c r="DN11">
        <f>538.894</f>
        <v>538.89400000000001</v>
      </c>
      <c r="DO11">
        <f>468.208</f>
        <v>468.20800000000003</v>
      </c>
      <c r="DP11">
        <f>505.338</f>
        <v>505.33800000000002</v>
      </c>
      <c r="DQ11">
        <f>450.944</f>
        <v>450.94400000000002</v>
      </c>
      <c r="DR11">
        <f>-77.8</f>
        <v>-77.8</v>
      </c>
      <c r="DS11">
        <f>0</f>
        <v>0</v>
      </c>
      <c r="DT11">
        <f>0</f>
        <v>0</v>
      </c>
      <c r="DU11">
        <f>0</f>
        <v>0</v>
      </c>
    </row>
    <row r="12" spans="1:125">
      <c r="A12" t="str">
        <f>"    医疗保健房地产投资信托总开发渠道"</f>
        <v xml:space="preserve">    医疗保健房地产投资信托总开发渠道</v>
      </c>
      <c r="B12" t="str">
        <f>"RECFDVHC Index"</f>
        <v>RECFDVHC Index</v>
      </c>
      <c r="C12" t="str">
        <f>"PR005"</f>
        <v>PR005</v>
      </c>
      <c r="D12" t="str">
        <f>"PX_LAST"</f>
        <v>PX_LAST</v>
      </c>
      <c r="E12" t="str">
        <f>"动态"</f>
        <v>动态</v>
      </c>
      <c r="F12">
        <f ca="1">IF(AND(ISNUMBER($F$37),$B$28=1),$F$37,HLOOKUP(INDIRECT(ADDRESS(2,COLUMN())),OFFSET($BN$2,0,0,ROW()-1,60),ROW()-1,FALSE))</f>
        <v>2284.0830000000001</v>
      </c>
      <c r="G12">
        <f ca="1">IF(AND(ISNUMBER($G$37),$B$28=1),$G$37,HLOOKUP(INDIRECT(ADDRESS(2,COLUMN())),OFFSET($BN$2,0,0,ROW()-1,60),ROW()-1,FALSE))</f>
        <v>2194.5309999999999</v>
      </c>
      <c r="H12">
        <f ca="1">IF(AND(ISNUMBER($H$37),$B$28=1),$H$37,HLOOKUP(INDIRECT(ADDRESS(2,COLUMN())),OFFSET($BN$2,0,0,ROW()-1,60),ROW()-1,FALSE))</f>
        <v>2283.5929999999998</v>
      </c>
      <c r="I12">
        <f ca="1">IF(AND(ISNUMBER($I$37),$B$28=1),$I$37,HLOOKUP(INDIRECT(ADDRESS(2,COLUMN())),OFFSET($BN$2,0,0,ROW()-1,60),ROW()-1,FALSE))</f>
        <v>2413.663</v>
      </c>
      <c r="J12">
        <f ca="1">IF(AND(ISNUMBER($J$37),$B$28=1),$J$37,HLOOKUP(INDIRECT(ADDRESS(2,COLUMN())),OFFSET($BN$2,0,0,ROW()-1,60),ROW()-1,FALSE))</f>
        <v>2508.674</v>
      </c>
      <c r="K12">
        <f ca="1">IF(AND(ISNUMBER($K$37),$B$28=1),$K$37,HLOOKUP(INDIRECT(ADDRESS(2,COLUMN())),OFFSET($BN$2,0,0,ROW()-1,60),ROW()-1,FALSE))</f>
        <v>2225.6320000000001</v>
      </c>
      <c r="L12">
        <f ca="1">IF(AND(ISNUMBER($L$37),$B$28=1),$L$37,HLOOKUP(INDIRECT(ADDRESS(2,COLUMN())),OFFSET($BN$2,0,0,ROW()-1,60),ROW()-1,FALSE))</f>
        <v>2344.8919999999998</v>
      </c>
      <c r="M12">
        <f ca="1">IF(AND(ISNUMBER($M$37),$B$28=1),$M$37,HLOOKUP(INDIRECT(ADDRESS(2,COLUMN())),OFFSET($BN$2,0,0,ROW()-1,60),ROW()-1,FALSE))</f>
        <v>2329.424</v>
      </c>
      <c r="N12">
        <f ca="1">IF(AND(ISNUMBER($N$37),$B$28=1),$N$37,HLOOKUP(INDIRECT(ADDRESS(2,COLUMN())),OFFSET($BN$2,0,0,ROW()-1,60),ROW()-1,FALSE))</f>
        <v>2083.6390000000001</v>
      </c>
      <c r="O12">
        <f ca="1">IF(AND(ISNUMBER($O$37),$B$28=1),$O$37,HLOOKUP(INDIRECT(ADDRESS(2,COLUMN())),OFFSET($BN$2,0,0,ROW()-1,60),ROW()-1,FALSE))</f>
        <v>1837.806</v>
      </c>
      <c r="P12">
        <f ca="1">IF(AND(ISNUMBER($P$37),$B$28=1),$P$37,HLOOKUP(INDIRECT(ADDRESS(2,COLUMN())),OFFSET($BN$2,0,0,ROW()-1,60),ROW()-1,FALSE))</f>
        <v>1580.5340000000001</v>
      </c>
      <c r="Q12">
        <f ca="1">IF(AND(ISNUMBER($Q$37),$B$28=1),$Q$37,HLOOKUP(INDIRECT(ADDRESS(2,COLUMN())),OFFSET($BN$2,0,0,ROW()-1,60),ROW()-1,FALSE))</f>
        <v>1266.2860000000001</v>
      </c>
      <c r="R12">
        <f ca="1">IF(AND(ISNUMBER($R$37),$B$28=1),$R$37,HLOOKUP(INDIRECT(ADDRESS(2,COLUMN())),OFFSET($BN$2,0,0,ROW()-1,60),ROW()-1,FALSE))</f>
        <v>879.05899999999997</v>
      </c>
      <c r="S12">
        <f ca="1">IF(AND(ISNUMBER($S$37),$B$28=1),$S$37,HLOOKUP(INDIRECT(ADDRESS(2,COLUMN())),OFFSET($BN$2,0,0,ROW()-1,60),ROW()-1,FALSE))</f>
        <v>722.94</v>
      </c>
      <c r="T12">
        <f ca="1">IF(AND(ISNUMBER($T$37),$B$28=1),$T$37,HLOOKUP(INDIRECT(ADDRESS(2,COLUMN())),OFFSET($BN$2,0,0,ROW()-1,60),ROW()-1,FALSE))</f>
        <v>536.46699999999998</v>
      </c>
      <c r="U12">
        <f ca="1">IF(AND(ISNUMBER($U$37),$B$28=1),$U$37,HLOOKUP(INDIRECT(ADDRESS(2,COLUMN())),OFFSET($BN$2,0,0,ROW()-1,60),ROW()-1,FALSE))</f>
        <v>627.23099999999999</v>
      </c>
      <c r="V12">
        <f ca="1">IF(AND(ISNUMBER($V$37),$B$28=1),$V$37,HLOOKUP(INDIRECT(ADDRESS(2,COLUMN())),OFFSET($BN$2,0,0,ROW()-1,60),ROW()-1,FALSE))</f>
        <v>648.00400000000002</v>
      </c>
      <c r="W12">
        <f ca="1">IF(AND(ISNUMBER($W$37),$B$28=1),$W$37,HLOOKUP(INDIRECT(ADDRESS(2,COLUMN())),OFFSET($BN$2,0,0,ROW()-1,60),ROW()-1,FALSE))</f>
        <v>727.33699999999999</v>
      </c>
      <c r="X12">
        <f ca="1">IF(AND(ISNUMBER($X$37),$B$28=1),$X$37,HLOOKUP(INDIRECT(ADDRESS(2,COLUMN())),OFFSET($BN$2,0,0,ROW()-1,60),ROW()-1,FALSE))</f>
        <v>696.85400000000004</v>
      </c>
      <c r="Y12">
        <f ca="1">IF(AND(ISNUMBER($Y$37),$B$28=1),$Y$37,HLOOKUP(INDIRECT(ADDRESS(2,COLUMN())),OFFSET($BN$2,0,0,ROW()-1,60),ROW()-1,FALSE))</f>
        <v>576.29100000000005</v>
      </c>
      <c r="Z12">
        <f ca="1">IF(AND(ISNUMBER($Z$37),$B$28=1),$Z$37,HLOOKUP(INDIRECT(ADDRESS(2,COLUMN())),OFFSET($BN$2,0,0,ROW()-1,60),ROW()-1,FALSE))</f>
        <v>507.75900000000001</v>
      </c>
      <c r="AA12">
        <f ca="1">IF(AND(ISNUMBER($AA$37),$B$28=1),$AA$37,HLOOKUP(INDIRECT(ADDRESS(2,COLUMN())),OFFSET($BN$2,0,0,ROW()-1,60),ROW()-1,FALSE))</f>
        <v>562.86199999999997</v>
      </c>
      <c r="AB12">
        <f ca="1">IF(AND(ISNUMBER($AB$37),$B$28=1),$AB$37,HLOOKUP(INDIRECT(ADDRESS(2,COLUMN())),OFFSET($BN$2,0,0,ROW()-1,60),ROW()-1,FALSE))</f>
        <v>579.84199999999998</v>
      </c>
      <c r="AC12">
        <f ca="1">IF(AND(ISNUMBER($AC$37),$B$28=1),$AC$37,HLOOKUP(INDIRECT(ADDRESS(2,COLUMN())),OFFSET($BN$2,0,0,ROW()-1,60),ROW()-1,FALSE))</f>
        <v>525.58699999999999</v>
      </c>
      <c r="AD12">
        <f ca="1">IF(AND(ISNUMBER($AD$37),$B$28=1),$AD$37,HLOOKUP(INDIRECT(ADDRESS(2,COLUMN())),OFFSET($BN$2,0,0,ROW()-1,60),ROW()-1,FALSE))</f>
        <v>665.96799999999996</v>
      </c>
      <c r="AE12">
        <f ca="1">IF(AND(ISNUMBER($AE$37),$B$28=1),$AE$37,HLOOKUP(INDIRECT(ADDRESS(2,COLUMN())),OFFSET($BN$2,0,0,ROW()-1,60),ROW()-1,FALSE))</f>
        <v>815.99099999999999</v>
      </c>
      <c r="AF12">
        <f ca="1">IF(AND(ISNUMBER($AF$37),$B$28=1),$AF$37,HLOOKUP(INDIRECT(ADDRESS(2,COLUMN())),OFFSET($BN$2,0,0,ROW()-1,60),ROW()-1,FALSE))</f>
        <v>600.92200000000003</v>
      </c>
      <c r="AG12">
        <f ca="1">IF(AND(ISNUMBER($AG$37),$B$28=1),$AG$37,HLOOKUP(INDIRECT(ADDRESS(2,COLUMN())),OFFSET($BN$2,0,0,ROW()-1,60),ROW()-1,FALSE))</f>
        <v>794.13900000000001</v>
      </c>
      <c r="AH12">
        <f ca="1">IF(AND(ISNUMBER($AH$37),$B$28=1),$AH$37,HLOOKUP(INDIRECT(ADDRESS(2,COLUMN())),OFFSET($BN$2,0,0,ROW()-1,60),ROW()-1,FALSE))</f>
        <v>827.01400000000001</v>
      </c>
      <c r="AI12">
        <f ca="1">IF(AND(ISNUMBER($AI$37),$B$28=1),$AI$37,HLOOKUP(INDIRECT(ADDRESS(2,COLUMN())),OFFSET($BN$2,0,0,ROW()-1,60),ROW()-1,FALSE))</f>
        <v>796.04</v>
      </c>
      <c r="AJ12">
        <f ca="1">IF(AND(ISNUMBER($AJ$37),$B$28=1),$AJ$37,HLOOKUP(INDIRECT(ADDRESS(2,COLUMN())),OFFSET($BN$2,0,0,ROW()-1,60),ROW()-1,FALSE))</f>
        <v>828.40499999999997</v>
      </c>
      <c r="AK12">
        <f ca="1">IF(AND(ISNUMBER($AK$37),$B$28=1),$AK$37,HLOOKUP(INDIRECT(ADDRESS(2,COLUMN())),OFFSET($BN$2,0,0,ROW()-1,60),ROW()-1,FALSE))</f>
        <v>772.72500000000002</v>
      </c>
      <c r="AL12">
        <f ca="1">IF(AND(ISNUMBER($AL$37),$B$28=1),$AL$37,HLOOKUP(INDIRECT(ADDRESS(2,COLUMN())),OFFSET($BN$2,0,0,ROW()-1,60),ROW()-1,FALSE))</f>
        <v>1152.1420000000001</v>
      </c>
      <c r="AM12">
        <f ca="1">IF(AND(ISNUMBER($AM$37),$B$28=1),$AM$37,HLOOKUP(INDIRECT(ADDRESS(2,COLUMN())),OFFSET($BN$2,0,0,ROW()-1,60),ROW()-1,FALSE))</f>
        <v>1531.9380000000001</v>
      </c>
      <c r="AN12">
        <f ca="1">IF(AND(ISNUMBER($AN$37),$B$28=1),$AN$37,HLOOKUP(INDIRECT(ADDRESS(2,COLUMN())),OFFSET($BN$2,0,0,ROW()-1,60),ROW()-1,FALSE))</f>
        <v>1696.5730000000001</v>
      </c>
      <c r="AO12">
        <f ca="1">IF(AND(ISNUMBER($AO$37),$B$28=1),$AO$37,HLOOKUP(INDIRECT(ADDRESS(2,COLUMN())),OFFSET($BN$2,0,0,ROW()-1,60),ROW()-1,FALSE))</f>
        <v>1825.1990000000001</v>
      </c>
      <c r="AP12">
        <f ca="1">IF(AND(ISNUMBER($AP$37),$B$28=1),$AP$37,HLOOKUP(INDIRECT(ADDRESS(2,COLUMN())),OFFSET($BN$2,0,0,ROW()-1,60),ROW()-1,FALSE))</f>
        <v>1874.527</v>
      </c>
      <c r="AQ12">
        <f ca="1">IF(AND(ISNUMBER($AQ$37),$B$28=1),$AQ$37,HLOOKUP(INDIRECT(ADDRESS(2,COLUMN())),OFFSET($BN$2,0,0,ROW()-1,60),ROW()-1,FALSE))</f>
        <v>2163.991</v>
      </c>
      <c r="AR12">
        <f ca="1">IF(AND(ISNUMBER($AR$37),$B$28=1),$AR$37,HLOOKUP(INDIRECT(ADDRESS(2,COLUMN())),OFFSET($BN$2,0,0,ROW()-1,60),ROW()-1,FALSE))</f>
        <v>1844.5139999999999</v>
      </c>
      <c r="AS12">
        <f ca="1">IF(AND(ISNUMBER($AS$37),$B$28=1),$AS$37,HLOOKUP(INDIRECT(ADDRESS(2,COLUMN())),OFFSET($BN$2,0,0,ROW()-1,60),ROW()-1,FALSE))</f>
        <v>1812.3789999999999</v>
      </c>
      <c r="AT12">
        <f ca="1">IF(AND(ISNUMBER($AT$37),$B$28=1),$AT$37,HLOOKUP(INDIRECT(ADDRESS(2,COLUMN())),OFFSET($BN$2,0,0,ROW()-1,60),ROW()-1,FALSE))</f>
        <v>1811.2049999999999</v>
      </c>
      <c r="AU12">
        <f ca="1">IF(AND(ISNUMBER($AU$37),$B$28=1),$AU$37,HLOOKUP(INDIRECT(ADDRESS(2,COLUMN())),OFFSET($BN$2,0,0,ROW()-1,60),ROW()-1,FALSE))</f>
        <v>1477.847</v>
      </c>
      <c r="AV12">
        <f ca="1">IF(AND(ISNUMBER($AV$37),$B$28=1),$AV$37,HLOOKUP(INDIRECT(ADDRESS(2,COLUMN())),OFFSET($BN$2,0,0,ROW()-1,60),ROW()-1,FALSE))</f>
        <v>821.73699999999997</v>
      </c>
      <c r="AW12">
        <f ca="1">IF(AND(ISNUMBER($AW$37),$B$28=1),$AW$37,HLOOKUP(INDIRECT(ADDRESS(2,COLUMN())),OFFSET($BN$2,0,0,ROW()-1,60),ROW()-1,FALSE))</f>
        <v>768.86500000000001</v>
      </c>
      <c r="AX12">
        <f ca="1">IF(AND(ISNUMBER($AX$37),$B$28=1),$AX$37,HLOOKUP(INDIRECT(ADDRESS(2,COLUMN())),OFFSET($BN$2,0,0,ROW()-1,60),ROW()-1,FALSE))</f>
        <v>749.86599999999999</v>
      </c>
      <c r="AY12">
        <f ca="1">IF(AND(ISNUMBER($AY$37),$B$28=1),$AY$37,HLOOKUP(INDIRECT(ADDRESS(2,COLUMN())),OFFSET($BN$2,0,0,ROW()-1,60),ROW()-1,FALSE))</f>
        <v>636.58900000000006</v>
      </c>
      <c r="AZ12">
        <f ca="1">IF(AND(ISNUMBER($AZ$37),$B$28=1),$AZ$37,HLOOKUP(INDIRECT(ADDRESS(2,COLUMN())),OFFSET($BN$2,0,0,ROW()-1,60),ROW()-1,FALSE))</f>
        <v>626.46299999999997</v>
      </c>
      <c r="BA12">
        <f ca="1">IF(AND(ISNUMBER($BA$37),$B$28=1),$BA$37,HLOOKUP(INDIRECT(ADDRESS(2,COLUMN())),OFFSET($BN$2,0,0,ROW()-1,60),ROW()-1,FALSE))</f>
        <v>463.779</v>
      </c>
      <c r="BB12">
        <f ca="1">IF(AND(ISNUMBER($BB$37),$B$28=1),$BB$37,HLOOKUP(INDIRECT(ADDRESS(2,COLUMN())),OFFSET($BN$2,0,0,ROW()-1,60),ROW()-1,FALSE))</f>
        <v>237.21</v>
      </c>
      <c r="BC12">
        <f ca="1">IF(AND(ISNUMBER($BC$37),$B$28=1),$BC$37,HLOOKUP(INDIRECT(ADDRESS(2,COLUMN())),OFFSET($BN$2,0,0,ROW()-1,60),ROW()-1,FALSE))</f>
        <v>248.5</v>
      </c>
      <c r="BD12">
        <f ca="1">IF(AND(ISNUMBER($BD$37),$B$28=1),$BD$37,HLOOKUP(INDIRECT(ADDRESS(2,COLUMN())),OFFSET($BN$2,0,0,ROW()-1,60),ROW()-1,FALSE))</f>
        <v>57.905000000000001</v>
      </c>
      <c r="BE12">
        <f ca="1">IF(AND(ISNUMBER($BE$37),$B$28=1),$BE$37,HLOOKUP(INDIRECT(ADDRESS(2,COLUMN())),OFFSET($BN$2,0,0,ROW()-1,60),ROW()-1,FALSE))</f>
        <v>68.81</v>
      </c>
      <c r="BF12">
        <f ca="1">IF(AND(ISNUMBER($BF$37),$B$28=1),$BF$37,HLOOKUP(INDIRECT(ADDRESS(2,COLUMN())),OFFSET($BN$2,0,0,ROW()-1,60),ROW()-1,FALSE))</f>
        <v>70.900000000000006</v>
      </c>
      <c r="BG12">
        <f ca="1">IF(AND(ISNUMBER($BG$37),$B$28=1),$BG$37,HLOOKUP(INDIRECT(ADDRESS(2,COLUMN())),OFFSET($BN$2,0,0,ROW()-1,60),ROW()-1,FALSE))</f>
        <v>102.72</v>
      </c>
      <c r="BH12">
        <f ca="1">IF(AND(ISNUMBER($BH$37),$B$28=1),$BH$37,HLOOKUP(INDIRECT(ADDRESS(2,COLUMN())),OFFSET($BN$2,0,0,ROW()-1,60),ROW()-1,FALSE))</f>
        <v>101.145</v>
      </c>
      <c r="BI12">
        <f ca="1">IF(AND(ISNUMBER($BI$37),$B$28=1),$BI$37,HLOOKUP(INDIRECT(ADDRESS(2,COLUMN())),OFFSET($BN$2,0,0,ROW()-1,60),ROW()-1,FALSE))</f>
        <v>54.145000000000003</v>
      </c>
      <c r="BJ12">
        <f ca="1">IF(AND(ISNUMBER($BJ$37),$B$28=1),$BJ$37,HLOOKUP(INDIRECT(ADDRESS(2,COLUMN())),OFFSET($BN$2,0,0,ROW()-1,60),ROW()-1,FALSE))</f>
        <v>43.311999999999998</v>
      </c>
      <c r="BK12">
        <f ca="1">IF(AND(ISNUMBER($BK$37),$B$28=1),$BK$37,HLOOKUP(INDIRECT(ADDRESS(2,COLUMN())),OFFSET($BN$2,0,0,ROW()-1,60),ROW()-1,FALSE))</f>
        <v>0</v>
      </c>
      <c r="BL12">
        <f ca="1">IF(AND(ISNUMBER($BL$37),$B$28=1),$BL$37,HLOOKUP(INDIRECT(ADDRESS(2,COLUMN())),OFFSET($BN$2,0,0,ROW()-1,60),ROW()-1,FALSE))</f>
        <v>0</v>
      </c>
      <c r="BM12">
        <f ca="1">IF(AND(ISNUMBER($BM$37),$B$28=1),$BM$37,HLOOKUP(INDIRECT(ADDRESS(2,COLUMN())),OFFSET($BN$2,0,0,ROW()-1,60),ROW()-1,FALSE))</f>
        <v>0</v>
      </c>
      <c r="BN12">
        <f>2284.083</f>
        <v>2284.0830000000001</v>
      </c>
      <c r="BO12">
        <f>2194.531</f>
        <v>2194.5309999999999</v>
      </c>
      <c r="BP12">
        <f>2283.593</f>
        <v>2283.5929999999998</v>
      </c>
      <c r="BQ12">
        <f>2413.663</f>
        <v>2413.663</v>
      </c>
      <c r="BR12">
        <f>2508.674</f>
        <v>2508.674</v>
      </c>
      <c r="BS12">
        <f>2225.632</f>
        <v>2225.6320000000001</v>
      </c>
      <c r="BT12">
        <f>2344.892</f>
        <v>2344.8919999999998</v>
      </c>
      <c r="BU12">
        <f>2329.424</f>
        <v>2329.424</v>
      </c>
      <c r="BV12">
        <f>2083.639</f>
        <v>2083.6390000000001</v>
      </c>
      <c r="BW12">
        <f>1837.806</f>
        <v>1837.806</v>
      </c>
      <c r="BX12">
        <f>1580.534</f>
        <v>1580.5340000000001</v>
      </c>
      <c r="BY12">
        <f>1266.286</f>
        <v>1266.2860000000001</v>
      </c>
      <c r="BZ12">
        <f>879.059</f>
        <v>879.05899999999997</v>
      </c>
      <c r="CA12">
        <f>722.94</f>
        <v>722.94</v>
      </c>
      <c r="CB12">
        <f>536.467</f>
        <v>536.46699999999998</v>
      </c>
      <c r="CC12">
        <f>627.231</f>
        <v>627.23099999999999</v>
      </c>
      <c r="CD12">
        <f>648.004</f>
        <v>648.00400000000002</v>
      </c>
      <c r="CE12">
        <f>727.337</f>
        <v>727.33699999999999</v>
      </c>
      <c r="CF12">
        <f>696.854</f>
        <v>696.85400000000004</v>
      </c>
      <c r="CG12">
        <f>576.291</f>
        <v>576.29100000000005</v>
      </c>
      <c r="CH12">
        <f>507.759</f>
        <v>507.75900000000001</v>
      </c>
      <c r="CI12">
        <f>562.862</f>
        <v>562.86199999999997</v>
      </c>
      <c r="CJ12">
        <f>579.842</f>
        <v>579.84199999999998</v>
      </c>
      <c r="CK12">
        <f>525.587</f>
        <v>525.58699999999999</v>
      </c>
      <c r="CL12">
        <f>665.968</f>
        <v>665.96799999999996</v>
      </c>
      <c r="CM12">
        <f>815.991</f>
        <v>815.99099999999999</v>
      </c>
      <c r="CN12">
        <f>600.922</f>
        <v>600.92200000000003</v>
      </c>
      <c r="CO12">
        <f>794.139</f>
        <v>794.13900000000001</v>
      </c>
      <c r="CP12">
        <f>827.014</f>
        <v>827.01400000000001</v>
      </c>
      <c r="CQ12">
        <f>796.04</f>
        <v>796.04</v>
      </c>
      <c r="CR12">
        <f>828.405</f>
        <v>828.40499999999997</v>
      </c>
      <c r="CS12">
        <f>772.725</f>
        <v>772.72500000000002</v>
      </c>
      <c r="CT12">
        <f>1152.142</f>
        <v>1152.1420000000001</v>
      </c>
      <c r="CU12">
        <f>1531.938</f>
        <v>1531.9380000000001</v>
      </c>
      <c r="CV12">
        <f>1696.573</f>
        <v>1696.5730000000001</v>
      </c>
      <c r="CW12">
        <f>1825.199</f>
        <v>1825.1990000000001</v>
      </c>
      <c r="CX12">
        <f>1874.527</f>
        <v>1874.527</v>
      </c>
      <c r="CY12">
        <f>2163.991</f>
        <v>2163.991</v>
      </c>
      <c r="CZ12">
        <f>1844.514</f>
        <v>1844.5139999999999</v>
      </c>
      <c r="DA12">
        <f>1812.379</f>
        <v>1812.3789999999999</v>
      </c>
      <c r="DB12">
        <f>1811.205</f>
        <v>1811.2049999999999</v>
      </c>
      <c r="DC12">
        <f>1477.847</f>
        <v>1477.847</v>
      </c>
      <c r="DD12">
        <f>821.737</f>
        <v>821.73699999999997</v>
      </c>
      <c r="DE12">
        <f>768.865</f>
        <v>768.86500000000001</v>
      </c>
      <c r="DF12">
        <f>749.866</f>
        <v>749.86599999999999</v>
      </c>
      <c r="DG12">
        <f>636.589</f>
        <v>636.58900000000006</v>
      </c>
      <c r="DH12">
        <f>626.463</f>
        <v>626.46299999999997</v>
      </c>
      <c r="DI12">
        <f>463.779</f>
        <v>463.779</v>
      </c>
      <c r="DJ12">
        <f>237.21</f>
        <v>237.21</v>
      </c>
      <c r="DK12">
        <f>248.5</f>
        <v>248.5</v>
      </c>
      <c r="DL12">
        <f>57.905</f>
        <v>57.905000000000001</v>
      </c>
      <c r="DM12">
        <f>68.81</f>
        <v>68.81</v>
      </c>
      <c r="DN12">
        <f>70.9</f>
        <v>70.900000000000006</v>
      </c>
      <c r="DO12">
        <f>102.72</f>
        <v>102.72</v>
      </c>
      <c r="DP12">
        <f>101.145</f>
        <v>101.145</v>
      </c>
      <c r="DQ12">
        <f>54.145</f>
        <v>54.145000000000003</v>
      </c>
      <c r="DR12">
        <f>43.312</f>
        <v>43.311999999999998</v>
      </c>
      <c r="DS12">
        <f>0</f>
        <v>0</v>
      </c>
      <c r="DT12">
        <f>0</f>
        <v>0</v>
      </c>
      <c r="DU12">
        <f>0</f>
        <v>0</v>
      </c>
    </row>
    <row r="13" spans="1:125">
      <c r="BN13" t="str">
        <f>""</f>
        <v/>
      </c>
      <c r="BO13" t="str">
        <f>""</f>
        <v/>
      </c>
      <c r="BP13" t="str">
        <f>""</f>
        <v/>
      </c>
      <c r="BQ13" t="str">
        <f>""</f>
        <v/>
      </c>
      <c r="BR13" t="str">
        <f>""</f>
        <v/>
      </c>
      <c r="BS13" t="str">
        <f>""</f>
        <v/>
      </c>
      <c r="BT13" t="str">
        <f>""</f>
        <v/>
      </c>
      <c r="BU13" t="str">
        <f>""</f>
        <v/>
      </c>
      <c r="BV13" t="str">
        <f>""</f>
        <v/>
      </c>
      <c r="BW13" t="str">
        <f>""</f>
        <v/>
      </c>
      <c r="BX13" t="str">
        <f>""</f>
        <v/>
      </c>
      <c r="BY13" t="str">
        <f>""</f>
        <v/>
      </c>
      <c r="BZ13" t="str">
        <f>""</f>
        <v/>
      </c>
      <c r="CA13" t="str">
        <f>""</f>
        <v/>
      </c>
      <c r="CB13" t="str">
        <f>""</f>
        <v/>
      </c>
      <c r="CC13" t="str">
        <f>""</f>
        <v/>
      </c>
      <c r="CD13" t="str">
        <f>""</f>
        <v/>
      </c>
      <c r="CE13" t="str">
        <f>""</f>
        <v/>
      </c>
      <c r="CF13" t="str">
        <f>""</f>
        <v/>
      </c>
      <c r="CG13" t="str">
        <f>""</f>
        <v/>
      </c>
      <c r="CH13" t="str">
        <f>""</f>
        <v/>
      </c>
      <c r="CI13" t="str">
        <f>""</f>
        <v/>
      </c>
      <c r="CJ13" t="str">
        <f>""</f>
        <v/>
      </c>
      <c r="CK13" t="str">
        <f>""</f>
        <v/>
      </c>
      <c r="CL13" t="str">
        <f>""</f>
        <v/>
      </c>
      <c r="CM13" t="str">
        <f>""</f>
        <v/>
      </c>
      <c r="CN13" t="str">
        <f>""</f>
        <v/>
      </c>
      <c r="CO13" t="str">
        <f>""</f>
        <v/>
      </c>
      <c r="CP13" t="str">
        <f>""</f>
        <v/>
      </c>
      <c r="CQ13" t="str">
        <f>""</f>
        <v/>
      </c>
      <c r="CR13" t="str">
        <f>""</f>
        <v/>
      </c>
      <c r="CS13" t="str">
        <f>""</f>
        <v/>
      </c>
      <c r="CT13" t="str">
        <f>""</f>
        <v/>
      </c>
      <c r="CU13" t="str">
        <f>""</f>
        <v/>
      </c>
      <c r="CV13" t="str">
        <f>""</f>
        <v/>
      </c>
      <c r="CW13" t="str">
        <f>""</f>
        <v/>
      </c>
      <c r="CX13" t="str">
        <f>""</f>
        <v/>
      </c>
      <c r="CY13" t="str">
        <f>""</f>
        <v/>
      </c>
      <c r="CZ13" t="str">
        <f>""</f>
        <v/>
      </c>
      <c r="DA13" t="str">
        <f>""</f>
        <v/>
      </c>
      <c r="DB13" t="str">
        <f>""</f>
        <v/>
      </c>
      <c r="DC13" t="str">
        <f>""</f>
        <v/>
      </c>
      <c r="DD13" t="str">
        <f>""</f>
        <v/>
      </c>
      <c r="DE13" t="str">
        <f>""</f>
        <v/>
      </c>
      <c r="DF13" t="str">
        <f>""</f>
        <v/>
      </c>
      <c r="DG13" t="str">
        <f>""</f>
        <v/>
      </c>
      <c r="DH13" t="str">
        <f>""</f>
        <v/>
      </c>
      <c r="DI13" t="str">
        <f>""</f>
        <v/>
      </c>
      <c r="DJ13" t="str">
        <f>""</f>
        <v/>
      </c>
      <c r="DK13" t="str">
        <f>""</f>
        <v/>
      </c>
      <c r="DL13" t="str">
        <f>""</f>
        <v/>
      </c>
      <c r="DM13" t="str">
        <f>""</f>
        <v/>
      </c>
      <c r="DN13" t="str">
        <f>""</f>
        <v/>
      </c>
      <c r="DO13" t="str">
        <f>""</f>
        <v/>
      </c>
      <c r="DP13" t="str">
        <f>""</f>
        <v/>
      </c>
      <c r="DQ13" t="str">
        <f>""</f>
        <v/>
      </c>
      <c r="DR13" t="str">
        <f>""</f>
        <v/>
      </c>
      <c r="DS13" t="str">
        <f>""</f>
        <v/>
      </c>
      <c r="DT13" t="str">
        <f>""</f>
        <v/>
      </c>
      <c r="DU13" t="str">
        <f>""</f>
        <v/>
      </c>
    </row>
    <row r="14" spans="1:125">
      <c r="BN14" t="str">
        <f>""</f>
        <v/>
      </c>
      <c r="BO14" t="str">
        <f>""</f>
        <v/>
      </c>
      <c r="BP14" t="str">
        <f>""</f>
        <v/>
      </c>
      <c r="BQ14" t="str">
        <f>""</f>
        <v/>
      </c>
      <c r="BR14" t="str">
        <f>""</f>
        <v/>
      </c>
      <c r="BS14" t="str">
        <f>""</f>
        <v/>
      </c>
      <c r="BT14" t="str">
        <f>""</f>
        <v/>
      </c>
      <c r="BU14" t="str">
        <f>""</f>
        <v/>
      </c>
      <c r="BV14" t="str">
        <f>""</f>
        <v/>
      </c>
      <c r="BW14" t="str">
        <f>""</f>
        <v/>
      </c>
      <c r="BX14" t="str">
        <f>""</f>
        <v/>
      </c>
      <c r="BY14" t="str">
        <f>""</f>
        <v/>
      </c>
      <c r="BZ14" t="str">
        <f>""</f>
        <v/>
      </c>
      <c r="CA14" t="str">
        <f>""</f>
        <v/>
      </c>
      <c r="CB14" t="str">
        <f>""</f>
        <v/>
      </c>
      <c r="CC14" t="str">
        <f>""</f>
        <v/>
      </c>
      <c r="CD14" t="str">
        <f>""</f>
        <v/>
      </c>
      <c r="CE14" t="str">
        <f>""</f>
        <v/>
      </c>
      <c r="CF14" t="str">
        <f>""</f>
        <v/>
      </c>
      <c r="CG14" t="str">
        <f>""</f>
        <v/>
      </c>
      <c r="CH14" t="str">
        <f>""</f>
        <v/>
      </c>
      <c r="CI14" t="str">
        <f>""</f>
        <v/>
      </c>
      <c r="CJ14" t="str">
        <f>""</f>
        <v/>
      </c>
      <c r="CK14" t="str">
        <f>""</f>
        <v/>
      </c>
      <c r="CL14" t="str">
        <f>""</f>
        <v/>
      </c>
      <c r="CM14" t="str">
        <f>""</f>
        <v/>
      </c>
      <c r="CN14" t="str">
        <f>""</f>
        <v/>
      </c>
      <c r="CO14" t="str">
        <f>""</f>
        <v/>
      </c>
      <c r="CP14" t="str">
        <f>""</f>
        <v/>
      </c>
      <c r="CQ14" t="str">
        <f>""</f>
        <v/>
      </c>
      <c r="CR14" t="str">
        <f>""</f>
        <v/>
      </c>
      <c r="CS14" t="str">
        <f>""</f>
        <v/>
      </c>
      <c r="CT14" t="str">
        <f>""</f>
        <v/>
      </c>
      <c r="CU14" t="str">
        <f>""</f>
        <v/>
      </c>
      <c r="CV14" t="str">
        <f>""</f>
        <v/>
      </c>
      <c r="CW14" t="str">
        <f>""</f>
        <v/>
      </c>
      <c r="CX14" t="str">
        <f>""</f>
        <v/>
      </c>
      <c r="CY14" t="str">
        <f>""</f>
        <v/>
      </c>
      <c r="CZ14" t="str">
        <f>""</f>
        <v/>
      </c>
      <c r="DA14" t="str">
        <f>""</f>
        <v/>
      </c>
      <c r="DB14" t="str">
        <f>""</f>
        <v/>
      </c>
      <c r="DC14" t="str">
        <f>""</f>
        <v/>
      </c>
      <c r="DD14" t="str">
        <f>""</f>
        <v/>
      </c>
      <c r="DE14" t="str">
        <f>""</f>
        <v/>
      </c>
      <c r="DF14" t="str">
        <f>""</f>
        <v/>
      </c>
      <c r="DG14" t="str">
        <f>""</f>
        <v/>
      </c>
      <c r="DH14" t="str">
        <f>""</f>
        <v/>
      </c>
      <c r="DI14" t="str">
        <f>""</f>
        <v/>
      </c>
      <c r="DJ14" t="str">
        <f>""</f>
        <v/>
      </c>
      <c r="DK14" t="str">
        <f>""</f>
        <v/>
      </c>
      <c r="DL14" t="str">
        <f>""</f>
        <v/>
      </c>
      <c r="DM14" t="str">
        <f>""</f>
        <v/>
      </c>
      <c r="DN14" t="str">
        <f>""</f>
        <v/>
      </c>
      <c r="DO14" t="str">
        <f>""</f>
        <v/>
      </c>
      <c r="DP14" t="str">
        <f>""</f>
        <v/>
      </c>
      <c r="DQ14" t="str">
        <f>""</f>
        <v/>
      </c>
      <c r="DR14" t="str">
        <f>""</f>
        <v/>
      </c>
      <c r="DS14" t="str">
        <f>""</f>
        <v/>
      </c>
      <c r="DT14" t="str">
        <f>""</f>
        <v/>
      </c>
      <c r="DU14" t="str">
        <f>""</f>
        <v/>
      </c>
    </row>
    <row r="15" spans="1:125">
      <c r="BN15" t="str">
        <f>""</f>
        <v/>
      </c>
      <c r="BO15" t="str">
        <f>""</f>
        <v/>
      </c>
      <c r="BP15" t="str">
        <f>""</f>
        <v/>
      </c>
      <c r="BQ15" t="str">
        <f>""</f>
        <v/>
      </c>
      <c r="BR15" t="str">
        <f>""</f>
        <v/>
      </c>
      <c r="BS15" t="str">
        <f>""</f>
        <v/>
      </c>
      <c r="BT15" t="str">
        <f>""</f>
        <v/>
      </c>
      <c r="BU15" t="str">
        <f>""</f>
        <v/>
      </c>
      <c r="BV15" t="str">
        <f>""</f>
        <v/>
      </c>
      <c r="BW15" t="str">
        <f>""</f>
        <v/>
      </c>
      <c r="BX15" t="str">
        <f>""</f>
        <v/>
      </c>
      <c r="BY15" t="str">
        <f>""</f>
        <v/>
      </c>
      <c r="BZ15" t="str">
        <f>""</f>
        <v/>
      </c>
      <c r="CA15" t="str">
        <f>""</f>
        <v/>
      </c>
      <c r="CB15" t="str">
        <f>""</f>
        <v/>
      </c>
      <c r="CC15" t="str">
        <f>""</f>
        <v/>
      </c>
      <c r="CD15" t="str">
        <f>""</f>
        <v/>
      </c>
      <c r="CE15" t="str">
        <f>""</f>
        <v/>
      </c>
      <c r="CF15" t="str">
        <f>""</f>
        <v/>
      </c>
      <c r="CG15" t="str">
        <f>""</f>
        <v/>
      </c>
      <c r="CH15" t="str">
        <f>""</f>
        <v/>
      </c>
      <c r="CI15" t="str">
        <f>""</f>
        <v/>
      </c>
      <c r="CJ15" t="str">
        <f>""</f>
        <v/>
      </c>
      <c r="CK15" t="str">
        <f>""</f>
        <v/>
      </c>
      <c r="CL15" t="str">
        <f>""</f>
        <v/>
      </c>
      <c r="CM15" t="str">
        <f>""</f>
        <v/>
      </c>
      <c r="CN15" t="str">
        <f>""</f>
        <v/>
      </c>
      <c r="CO15" t="str">
        <f>""</f>
        <v/>
      </c>
      <c r="CP15" t="str">
        <f>""</f>
        <v/>
      </c>
      <c r="CQ15" t="str">
        <f>""</f>
        <v/>
      </c>
      <c r="CR15" t="str">
        <f>""</f>
        <v/>
      </c>
      <c r="CS15" t="str">
        <f>""</f>
        <v/>
      </c>
      <c r="CT15" t="str">
        <f>""</f>
        <v/>
      </c>
      <c r="CU15" t="str">
        <f>""</f>
        <v/>
      </c>
      <c r="CV15" t="str">
        <f>""</f>
        <v/>
      </c>
      <c r="CW15" t="str">
        <f>""</f>
        <v/>
      </c>
      <c r="CX15" t="str">
        <f>""</f>
        <v/>
      </c>
      <c r="CY15" t="str">
        <f>""</f>
        <v/>
      </c>
      <c r="CZ15" t="str">
        <f>""</f>
        <v/>
      </c>
      <c r="DA15" t="str">
        <f>""</f>
        <v/>
      </c>
      <c r="DB15" t="str">
        <f>""</f>
        <v/>
      </c>
      <c r="DC15" t="str">
        <f>""</f>
        <v/>
      </c>
      <c r="DD15" t="str">
        <f>""</f>
        <v/>
      </c>
      <c r="DE15" t="str">
        <f>""</f>
        <v/>
      </c>
      <c r="DF15" t="str">
        <f>""</f>
        <v/>
      </c>
      <c r="DG15" t="str">
        <f>""</f>
        <v/>
      </c>
      <c r="DH15" t="str">
        <f>""</f>
        <v/>
      </c>
      <c r="DI15" t="str">
        <f>""</f>
        <v/>
      </c>
      <c r="DJ15" t="str">
        <f>""</f>
        <v/>
      </c>
      <c r="DK15" t="str">
        <f>""</f>
        <v/>
      </c>
      <c r="DL15" t="str">
        <f>""</f>
        <v/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>
      <c r="BN16" t="str">
        <f>""</f>
        <v/>
      </c>
      <c r="BO16" t="str">
        <f>""</f>
        <v/>
      </c>
      <c r="BP16" t="str">
        <f>""</f>
        <v/>
      </c>
      <c r="BQ16" t="str">
        <f>""</f>
        <v/>
      </c>
      <c r="BR16" t="str">
        <f>""</f>
        <v/>
      </c>
      <c r="BS16" t="str">
        <f>""</f>
        <v/>
      </c>
      <c r="BT16" t="str">
        <f>""</f>
        <v/>
      </c>
      <c r="BU16" t="str">
        <f>""</f>
        <v/>
      </c>
      <c r="BV16" t="str">
        <f>""</f>
        <v/>
      </c>
      <c r="BW16" t="str">
        <f>""</f>
        <v/>
      </c>
      <c r="BX16" t="str">
        <f>""</f>
        <v/>
      </c>
      <c r="BY16" t="str">
        <f>""</f>
        <v/>
      </c>
      <c r="BZ16" t="str">
        <f>""</f>
        <v/>
      </c>
      <c r="CA16" t="str">
        <f>""</f>
        <v/>
      </c>
      <c r="CB16" t="str">
        <f>""</f>
        <v/>
      </c>
      <c r="CC16" t="str">
        <f>""</f>
        <v/>
      </c>
      <c r="CD16" t="str">
        <f>""</f>
        <v/>
      </c>
      <c r="CE16" t="str">
        <f>""</f>
        <v/>
      </c>
      <c r="CF16" t="str">
        <f>""</f>
        <v/>
      </c>
      <c r="CG16" t="str">
        <f>""</f>
        <v/>
      </c>
      <c r="CH16" t="str">
        <f>""</f>
        <v/>
      </c>
      <c r="CI16" t="str">
        <f>""</f>
        <v/>
      </c>
      <c r="CJ16" t="str">
        <f>""</f>
        <v/>
      </c>
      <c r="CK16" t="str">
        <f>""</f>
        <v/>
      </c>
      <c r="CL16" t="str">
        <f>""</f>
        <v/>
      </c>
      <c r="CM16" t="str">
        <f>""</f>
        <v/>
      </c>
      <c r="CN16" t="str">
        <f>""</f>
        <v/>
      </c>
      <c r="CO16" t="str">
        <f>""</f>
        <v/>
      </c>
      <c r="CP16" t="str">
        <f>""</f>
        <v/>
      </c>
      <c r="CQ16" t="str">
        <f>""</f>
        <v/>
      </c>
      <c r="CR16" t="str">
        <f>""</f>
        <v/>
      </c>
      <c r="CS16" t="str">
        <f>""</f>
        <v/>
      </c>
      <c r="CT16" t="str">
        <f>""</f>
        <v/>
      </c>
      <c r="CU16" t="str">
        <f>""</f>
        <v/>
      </c>
      <c r="CV16" t="str">
        <f>""</f>
        <v/>
      </c>
      <c r="CW16" t="str">
        <f>""</f>
        <v/>
      </c>
      <c r="CX16" t="str">
        <f>""</f>
        <v/>
      </c>
      <c r="CY16" t="str">
        <f>""</f>
        <v/>
      </c>
      <c r="CZ16" t="str">
        <f>""</f>
        <v/>
      </c>
      <c r="DA16" t="str">
        <f>""</f>
        <v/>
      </c>
      <c r="DB16" t="str">
        <f>""</f>
        <v/>
      </c>
      <c r="DC16" t="str">
        <f>""</f>
        <v/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  <c r="DT16" t="str">
        <f>""</f>
        <v/>
      </c>
      <c r="DU16" t="str">
        <f>""</f>
        <v/>
      </c>
    </row>
    <row r="17" spans="1:125">
      <c r="BN17" t="str">
        <f>""</f>
        <v/>
      </c>
      <c r="BO17" t="str">
        <f>""</f>
        <v/>
      </c>
      <c r="BP17" t="str">
        <f>""</f>
        <v/>
      </c>
      <c r="BQ17" t="str">
        <f>""</f>
        <v/>
      </c>
      <c r="BR17" t="str">
        <f>""</f>
        <v/>
      </c>
      <c r="BS17" t="str">
        <f>""</f>
        <v/>
      </c>
      <c r="BT17" t="str">
        <f>""</f>
        <v/>
      </c>
      <c r="BU17" t="str">
        <f>""</f>
        <v/>
      </c>
      <c r="BV17" t="str">
        <f>""</f>
        <v/>
      </c>
      <c r="BW17" t="str">
        <f>""</f>
        <v/>
      </c>
      <c r="BX17" t="str">
        <f>""</f>
        <v/>
      </c>
      <c r="BY17" t="str">
        <f>""</f>
        <v/>
      </c>
      <c r="BZ17" t="str">
        <f>""</f>
        <v/>
      </c>
      <c r="CA17" t="str">
        <f>""</f>
        <v/>
      </c>
      <c r="CB17" t="str">
        <f>""</f>
        <v/>
      </c>
      <c r="CC17" t="str">
        <f>""</f>
        <v/>
      </c>
      <c r="CD17" t="str">
        <f>""</f>
        <v/>
      </c>
      <c r="CE17" t="str">
        <f>""</f>
        <v/>
      </c>
      <c r="CF17" t="str">
        <f>""</f>
        <v/>
      </c>
      <c r="CG17" t="str">
        <f>""</f>
        <v/>
      </c>
      <c r="CH17" t="str">
        <f>""</f>
        <v/>
      </c>
      <c r="CI17" t="str">
        <f>""</f>
        <v/>
      </c>
      <c r="CJ17" t="str">
        <f>""</f>
        <v/>
      </c>
      <c r="CK17" t="str">
        <f>""</f>
        <v/>
      </c>
      <c r="CL17" t="str">
        <f>""</f>
        <v/>
      </c>
      <c r="CM17" t="str">
        <f>""</f>
        <v/>
      </c>
      <c r="CN17" t="str">
        <f>""</f>
        <v/>
      </c>
      <c r="CO17" t="str">
        <f>""</f>
        <v/>
      </c>
      <c r="CP17" t="str">
        <f>""</f>
        <v/>
      </c>
      <c r="CQ17" t="str">
        <f>""</f>
        <v/>
      </c>
      <c r="CR17" t="str">
        <f>""</f>
        <v/>
      </c>
      <c r="CS17" t="str">
        <f>""</f>
        <v/>
      </c>
      <c r="CT17" t="str">
        <f>""</f>
        <v/>
      </c>
      <c r="CU17" t="str">
        <f>""</f>
        <v/>
      </c>
      <c r="CV17" t="str">
        <f>""</f>
        <v/>
      </c>
      <c r="CW17" t="str">
        <f>""</f>
        <v/>
      </c>
      <c r="CX17" t="str">
        <f>""</f>
        <v/>
      </c>
      <c r="CY17" t="str">
        <f>""</f>
        <v/>
      </c>
      <c r="CZ17" t="str">
        <f>""</f>
        <v/>
      </c>
      <c r="DA17" t="str">
        <f>""</f>
        <v/>
      </c>
      <c r="DB17" t="str">
        <f>""</f>
        <v/>
      </c>
      <c r="DC17" t="str">
        <f>""</f>
        <v/>
      </c>
      <c r="DD17" t="str">
        <f>""</f>
        <v/>
      </c>
      <c r="DE17" t="str">
        <f>""</f>
        <v/>
      </c>
      <c r="DF17" t="str">
        <f>""</f>
        <v/>
      </c>
      <c r="DG17" t="str">
        <f>""</f>
        <v/>
      </c>
      <c r="DH17" t="str">
        <f>""</f>
        <v/>
      </c>
      <c r="DI17" t="str">
        <f>""</f>
        <v/>
      </c>
      <c r="DJ17" t="str">
        <f>""</f>
        <v/>
      </c>
      <c r="DK17" t="str">
        <f>""</f>
        <v/>
      </c>
      <c r="DL17" t="str">
        <f>""</f>
        <v/>
      </c>
      <c r="DM17" t="str">
        <f>""</f>
        <v/>
      </c>
      <c r="DN17" t="str">
        <f>""</f>
        <v/>
      </c>
      <c r="DO17" t="str">
        <f>""</f>
        <v/>
      </c>
      <c r="DP17" t="str">
        <f>""</f>
        <v/>
      </c>
      <c r="DQ17" t="str">
        <f>""</f>
        <v/>
      </c>
      <c r="DR17" t="str">
        <f>""</f>
        <v/>
      </c>
      <c r="DS17" t="str">
        <f>""</f>
        <v/>
      </c>
      <c r="DT17" t="str">
        <f>""</f>
        <v/>
      </c>
      <c r="DU17" t="str">
        <f>""</f>
        <v/>
      </c>
    </row>
    <row r="18" spans="1:125">
      <c r="BN18" t="str">
        <f>""</f>
        <v/>
      </c>
      <c r="BO18" t="str">
        <f>""</f>
        <v/>
      </c>
      <c r="BP18" t="str">
        <f>""</f>
        <v/>
      </c>
      <c r="BQ18" t="str">
        <f>""</f>
        <v/>
      </c>
      <c r="BR18" t="str">
        <f>""</f>
        <v/>
      </c>
      <c r="BS18" t="str">
        <f>""</f>
        <v/>
      </c>
      <c r="BT18" t="str">
        <f>""</f>
        <v/>
      </c>
      <c r="BU18" t="str">
        <f>""</f>
        <v/>
      </c>
      <c r="BV18" t="str">
        <f>""</f>
        <v/>
      </c>
      <c r="BW18" t="str">
        <f>""</f>
        <v/>
      </c>
      <c r="BX18" t="str">
        <f>""</f>
        <v/>
      </c>
      <c r="BY18" t="str">
        <f>""</f>
        <v/>
      </c>
      <c r="BZ18" t="str">
        <f>""</f>
        <v/>
      </c>
      <c r="CA18" t="str">
        <f>""</f>
        <v/>
      </c>
      <c r="CB18" t="str">
        <f>""</f>
        <v/>
      </c>
      <c r="CC18" t="str">
        <f>""</f>
        <v/>
      </c>
      <c r="CD18" t="str">
        <f>""</f>
        <v/>
      </c>
      <c r="CE18" t="str">
        <f>""</f>
        <v/>
      </c>
      <c r="CF18" t="str">
        <f>""</f>
        <v/>
      </c>
      <c r="CG18" t="str">
        <f>""</f>
        <v/>
      </c>
      <c r="CH18" t="str">
        <f>""</f>
        <v/>
      </c>
      <c r="CI18" t="str">
        <f>""</f>
        <v/>
      </c>
      <c r="CJ18" t="str">
        <f>""</f>
        <v/>
      </c>
      <c r="CK18" t="str">
        <f>""</f>
        <v/>
      </c>
      <c r="CL18" t="str">
        <f>""</f>
        <v/>
      </c>
      <c r="CM18" t="str">
        <f>""</f>
        <v/>
      </c>
      <c r="CN18" t="str">
        <f>""</f>
        <v/>
      </c>
      <c r="CO18" t="str">
        <f>""</f>
        <v/>
      </c>
      <c r="CP18" t="str">
        <f>""</f>
        <v/>
      </c>
      <c r="CQ18" t="str">
        <f>""</f>
        <v/>
      </c>
      <c r="CR18" t="str">
        <f>""</f>
        <v/>
      </c>
      <c r="CS18" t="str">
        <f>""</f>
        <v/>
      </c>
      <c r="CT18" t="str">
        <f>""</f>
        <v/>
      </c>
      <c r="CU18" t="str">
        <f>""</f>
        <v/>
      </c>
      <c r="CV18" t="str">
        <f>""</f>
        <v/>
      </c>
      <c r="CW18" t="str">
        <f>""</f>
        <v/>
      </c>
      <c r="CX18" t="str">
        <f>""</f>
        <v/>
      </c>
      <c r="CY18" t="str">
        <f>""</f>
        <v/>
      </c>
      <c r="CZ18" t="str">
        <f>""</f>
        <v/>
      </c>
      <c r="DA18" t="str">
        <f>""</f>
        <v/>
      </c>
      <c r="DB18" t="str">
        <f>""</f>
        <v/>
      </c>
      <c r="DC18" t="str">
        <f>""</f>
        <v/>
      </c>
      <c r="DD18" t="str">
        <f>""</f>
        <v/>
      </c>
      <c r="DE18" t="str">
        <f>""</f>
        <v/>
      </c>
      <c r="DF18" t="str">
        <f>""</f>
        <v/>
      </c>
      <c r="DG18" t="str">
        <f>""</f>
        <v/>
      </c>
      <c r="DH18" t="str">
        <f>""</f>
        <v/>
      </c>
      <c r="DI18" t="str">
        <f>""</f>
        <v/>
      </c>
      <c r="DJ18" t="str">
        <f>""</f>
        <v/>
      </c>
      <c r="DK18" t="str">
        <f>""</f>
        <v/>
      </c>
      <c r="DL18" t="str">
        <f>""</f>
        <v/>
      </c>
      <c r="DM18" t="str">
        <f>""</f>
        <v/>
      </c>
      <c r="DN18" t="str">
        <f>""</f>
        <v/>
      </c>
      <c r="DO18" t="str">
        <f>""</f>
        <v/>
      </c>
      <c r="DP18" t="str">
        <f>""</f>
        <v/>
      </c>
      <c r="DQ18" t="str">
        <f>""</f>
        <v/>
      </c>
      <c r="DR18" t="str">
        <f>""</f>
        <v/>
      </c>
      <c r="DS18" t="str">
        <f>""</f>
        <v/>
      </c>
      <c r="DT18" t="str">
        <f>""</f>
        <v/>
      </c>
      <c r="DU18" t="str">
        <f>""</f>
        <v/>
      </c>
    </row>
    <row r="19" spans="1:125"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>
      <c r="A20" t="str">
        <f t="shared" ref="A20:AF20" si="2">"~~~~~~~~~~"</f>
        <v>~~~~~~~~~~</v>
      </c>
      <c r="B20" t="str">
        <f t="shared" si="2"/>
        <v>~~~~~~~~~~</v>
      </c>
      <c r="C20" t="str">
        <f t="shared" si="2"/>
        <v>~~~~~~~~~~</v>
      </c>
      <c r="D20" t="str">
        <f t="shared" si="2"/>
        <v>~~~~~~~~~~</v>
      </c>
      <c r="E20" t="str">
        <f t="shared" si="2"/>
        <v>~~~~~~~~~~</v>
      </c>
      <c r="F20" t="str">
        <f t="shared" si="2"/>
        <v>~~~~~~~~~~</v>
      </c>
      <c r="G20" t="str">
        <f t="shared" si="2"/>
        <v>~~~~~~~~~~</v>
      </c>
      <c r="H20" t="str">
        <f t="shared" si="2"/>
        <v>~~~~~~~~~~</v>
      </c>
      <c r="I20" t="str">
        <f t="shared" si="2"/>
        <v>~~~~~~~~~~</v>
      </c>
      <c r="J20" t="str">
        <f t="shared" si="2"/>
        <v>~~~~~~~~~~</v>
      </c>
      <c r="K20" t="str">
        <f t="shared" si="2"/>
        <v>~~~~~~~~~~</v>
      </c>
      <c r="L20" t="str">
        <f t="shared" si="2"/>
        <v>~~~~~~~~~~</v>
      </c>
      <c r="M20" t="str">
        <f t="shared" si="2"/>
        <v>~~~~~~~~~~</v>
      </c>
      <c r="N20" t="str">
        <f t="shared" si="2"/>
        <v>~~~~~~~~~~</v>
      </c>
      <c r="O20" t="str">
        <f t="shared" si="2"/>
        <v>~~~~~~~~~~</v>
      </c>
      <c r="P20" t="str">
        <f t="shared" si="2"/>
        <v>~~~~~~~~~~</v>
      </c>
      <c r="Q20" t="str">
        <f t="shared" si="2"/>
        <v>~~~~~~~~~~</v>
      </c>
      <c r="R20" t="str">
        <f t="shared" si="2"/>
        <v>~~~~~~~~~~</v>
      </c>
      <c r="S20" t="str">
        <f t="shared" si="2"/>
        <v>~~~~~~~~~~</v>
      </c>
      <c r="T20" t="str">
        <f t="shared" si="2"/>
        <v>~~~~~~~~~~</v>
      </c>
      <c r="U20" t="str">
        <f t="shared" si="2"/>
        <v>~~~~~~~~~~</v>
      </c>
      <c r="V20" t="str">
        <f t="shared" si="2"/>
        <v>~~~~~~~~~~</v>
      </c>
      <c r="W20" t="str">
        <f t="shared" si="2"/>
        <v>~~~~~~~~~~</v>
      </c>
      <c r="X20" t="str">
        <f t="shared" si="2"/>
        <v>~~~~~~~~~~</v>
      </c>
      <c r="Y20" t="str">
        <f t="shared" si="2"/>
        <v>~~~~~~~~~~</v>
      </c>
      <c r="Z20" t="str">
        <f t="shared" si="2"/>
        <v>~~~~~~~~~~</v>
      </c>
      <c r="AA20" t="str">
        <f t="shared" si="2"/>
        <v>~~~~~~~~~~</v>
      </c>
      <c r="AB20" t="str">
        <f t="shared" si="2"/>
        <v>~~~~~~~~~~</v>
      </c>
      <c r="AC20" t="str">
        <f t="shared" si="2"/>
        <v>~~~~~~~~~~</v>
      </c>
      <c r="AD20" t="str">
        <f t="shared" si="2"/>
        <v>~~~~~~~~~~</v>
      </c>
      <c r="AE20" t="str">
        <f t="shared" si="2"/>
        <v>~~~~~~~~~~</v>
      </c>
      <c r="AF20" t="str">
        <f t="shared" si="2"/>
        <v>~~~~~~~~~~</v>
      </c>
      <c r="AG20" t="str">
        <f t="shared" ref="AG20:BM20" si="3">"~~~~~~~~~~"</f>
        <v>~~~~~~~~~~</v>
      </c>
      <c r="AH20" t="str">
        <f t="shared" si="3"/>
        <v>~~~~~~~~~~</v>
      </c>
      <c r="AI20" t="str">
        <f t="shared" si="3"/>
        <v>~~~~~~~~~~</v>
      </c>
      <c r="AJ20" t="str">
        <f t="shared" si="3"/>
        <v>~~~~~~~~~~</v>
      </c>
      <c r="AK20" t="str">
        <f t="shared" si="3"/>
        <v>~~~~~~~~~~</v>
      </c>
      <c r="AL20" t="str">
        <f t="shared" si="3"/>
        <v>~~~~~~~~~~</v>
      </c>
      <c r="AM20" t="str">
        <f t="shared" si="3"/>
        <v>~~~~~~~~~~</v>
      </c>
      <c r="AN20" t="str">
        <f t="shared" si="3"/>
        <v>~~~~~~~~~~</v>
      </c>
      <c r="AO20" t="str">
        <f t="shared" si="3"/>
        <v>~~~~~~~~~~</v>
      </c>
      <c r="AP20" t="str">
        <f t="shared" si="3"/>
        <v>~~~~~~~~~~</v>
      </c>
      <c r="AQ20" t="str">
        <f t="shared" si="3"/>
        <v>~~~~~~~~~~</v>
      </c>
      <c r="AR20" t="str">
        <f t="shared" si="3"/>
        <v>~~~~~~~~~~</v>
      </c>
      <c r="AS20" t="str">
        <f t="shared" si="3"/>
        <v>~~~~~~~~~~</v>
      </c>
      <c r="AT20" t="str">
        <f t="shared" si="3"/>
        <v>~~~~~~~~~~</v>
      </c>
      <c r="AU20" t="str">
        <f t="shared" si="3"/>
        <v>~~~~~~~~~~</v>
      </c>
      <c r="AV20" t="str">
        <f t="shared" si="3"/>
        <v>~~~~~~~~~~</v>
      </c>
      <c r="AW20" t="str">
        <f t="shared" si="3"/>
        <v>~~~~~~~~~~</v>
      </c>
      <c r="AX20" t="str">
        <f t="shared" si="3"/>
        <v>~~~~~~~~~~</v>
      </c>
      <c r="AY20" t="str">
        <f t="shared" si="3"/>
        <v>~~~~~~~~~~</v>
      </c>
      <c r="AZ20" t="str">
        <f t="shared" si="3"/>
        <v>~~~~~~~~~~</v>
      </c>
      <c r="BA20" t="str">
        <f t="shared" si="3"/>
        <v>~~~~~~~~~~</v>
      </c>
      <c r="BB20" t="str">
        <f t="shared" si="3"/>
        <v>~~~~~~~~~~</v>
      </c>
      <c r="BC20" t="str">
        <f t="shared" si="3"/>
        <v>~~~~~~~~~~</v>
      </c>
      <c r="BD20" t="str">
        <f t="shared" si="3"/>
        <v>~~~~~~~~~~</v>
      </c>
      <c r="BE20" t="str">
        <f t="shared" si="3"/>
        <v>~~~~~~~~~~</v>
      </c>
      <c r="BF20" t="str">
        <f t="shared" si="3"/>
        <v>~~~~~~~~~~</v>
      </c>
      <c r="BG20" t="str">
        <f t="shared" si="3"/>
        <v>~~~~~~~~~~</v>
      </c>
      <c r="BH20" t="str">
        <f t="shared" si="3"/>
        <v>~~~~~~~~~~</v>
      </c>
      <c r="BI20" t="str">
        <f t="shared" si="3"/>
        <v>~~~~~~~~~~</v>
      </c>
      <c r="BJ20" t="str">
        <f t="shared" si="3"/>
        <v>~~~~~~~~~~</v>
      </c>
      <c r="BK20" t="str">
        <f t="shared" si="3"/>
        <v>~~~~~~~~~~</v>
      </c>
      <c r="BL20" t="str">
        <f t="shared" si="3"/>
        <v>~~~~~~~~~~</v>
      </c>
      <c r="BM20" t="str">
        <f t="shared" si="3"/>
        <v>~~~~~~~~~~</v>
      </c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  <c r="BT20" t="str">
        <f>""</f>
        <v/>
      </c>
      <c r="BU20" t="str">
        <f>""</f>
        <v/>
      </c>
      <c r="BV20" t="str">
        <f>""</f>
        <v/>
      </c>
      <c r="BW20" t="str">
        <f>""</f>
        <v/>
      </c>
      <c r="BX20" t="str">
        <f>""</f>
        <v/>
      </c>
      <c r="BY20" t="str">
        <f>""</f>
        <v/>
      </c>
      <c r="BZ20" t="str">
        <f>""</f>
        <v/>
      </c>
      <c r="CA20" t="str">
        <f>""</f>
        <v/>
      </c>
      <c r="CB20" t="str">
        <f>""</f>
        <v/>
      </c>
      <c r="CC20" t="str">
        <f>""</f>
        <v/>
      </c>
      <c r="CD20" t="str">
        <f>""</f>
        <v/>
      </c>
      <c r="CE20" t="str">
        <f>""</f>
        <v/>
      </c>
      <c r="CF20" t="str">
        <f>""</f>
        <v/>
      </c>
      <c r="CG20" t="str">
        <f>""</f>
        <v/>
      </c>
      <c r="CH20" t="str">
        <f>""</f>
        <v/>
      </c>
      <c r="CI20" t="str">
        <f>""</f>
        <v/>
      </c>
      <c r="CJ20" t="str">
        <f>""</f>
        <v/>
      </c>
      <c r="CK20" t="str">
        <f>""</f>
        <v/>
      </c>
      <c r="CL20" t="str">
        <f>""</f>
        <v/>
      </c>
      <c r="CM20" t="str">
        <f>""</f>
        <v/>
      </c>
      <c r="CN20" t="str">
        <f>""</f>
        <v/>
      </c>
      <c r="CO20" t="str">
        <f>""</f>
        <v/>
      </c>
      <c r="CP20" t="str">
        <f>""</f>
        <v/>
      </c>
      <c r="CQ20" t="str">
        <f>""</f>
        <v/>
      </c>
      <c r="CR20" t="str">
        <f>""</f>
        <v/>
      </c>
      <c r="CS20" t="str">
        <f>""</f>
        <v/>
      </c>
      <c r="CT20" t="str">
        <f>""</f>
        <v/>
      </c>
      <c r="CU20" t="str">
        <f>""</f>
        <v/>
      </c>
      <c r="CV20" t="str">
        <f>""</f>
        <v/>
      </c>
      <c r="CW20" t="str">
        <f>""</f>
        <v/>
      </c>
      <c r="CX20" t="str">
        <f>""</f>
        <v/>
      </c>
      <c r="CY20" t="str">
        <f>""</f>
        <v/>
      </c>
      <c r="CZ20" t="str">
        <f>""</f>
        <v/>
      </c>
      <c r="DA20" t="str">
        <f>""</f>
        <v/>
      </c>
      <c r="DB20" t="str">
        <f>""</f>
        <v/>
      </c>
      <c r="DC20" t="str">
        <f>""</f>
        <v/>
      </c>
      <c r="DD20" t="str">
        <f>""</f>
        <v/>
      </c>
      <c r="DE20" t="str">
        <f>""</f>
        <v/>
      </c>
      <c r="DF20" t="str">
        <f>""</f>
        <v/>
      </c>
      <c r="DG20" t="str">
        <f>""</f>
        <v/>
      </c>
      <c r="DH20" t="str">
        <f>""</f>
        <v/>
      </c>
      <c r="DI20" t="str">
        <f>""</f>
        <v/>
      </c>
      <c r="DJ20" t="str">
        <f>""</f>
        <v/>
      </c>
      <c r="DK20" t="str">
        <f>""</f>
        <v/>
      </c>
      <c r="DL20" t="str">
        <f>""</f>
        <v/>
      </c>
      <c r="DM20" t="str">
        <f>""</f>
        <v/>
      </c>
      <c r="DN20" t="str">
        <f>""</f>
        <v/>
      </c>
      <c r="DO20" t="str">
        <f>""</f>
        <v/>
      </c>
      <c r="DP20" t="str">
        <f>""</f>
        <v/>
      </c>
      <c r="DQ20" t="str">
        <f>""</f>
        <v/>
      </c>
      <c r="DR20" t="str">
        <f>""</f>
        <v/>
      </c>
      <c r="DS20" t="str">
        <f>""</f>
        <v/>
      </c>
      <c r="DT20" t="str">
        <f>""</f>
        <v/>
      </c>
      <c r="DU20" t="str">
        <f>""</f>
        <v/>
      </c>
    </row>
    <row r="21" spans="1:125">
      <c r="A21" t="str">
        <f>"通过上面公式行而添加下列所有数据行以供参考之用。"</f>
        <v>通过上面公式行而添加下列所有数据行以供参考之用。</v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  <c r="BT21" t="str">
        <f>""</f>
        <v/>
      </c>
      <c r="BU21" t="str">
        <f>""</f>
        <v/>
      </c>
      <c r="BV21" t="str">
        <f>""</f>
        <v/>
      </c>
      <c r="BW21" t="str">
        <f>""</f>
        <v/>
      </c>
      <c r="BX21" t="str">
        <f>""</f>
        <v/>
      </c>
      <c r="BY21" t="str">
        <f>""</f>
        <v/>
      </c>
      <c r="BZ21" t="str">
        <f>""</f>
        <v/>
      </c>
      <c r="CA21" t="str">
        <f>""</f>
        <v/>
      </c>
      <c r="CB21" t="str">
        <f>""</f>
        <v/>
      </c>
      <c r="CC21" t="str">
        <f>""</f>
        <v/>
      </c>
      <c r="CD21" t="str">
        <f>""</f>
        <v/>
      </c>
      <c r="CE21" t="str">
        <f>""</f>
        <v/>
      </c>
      <c r="CF21" t="str">
        <f>""</f>
        <v/>
      </c>
      <c r="CG21" t="str">
        <f>""</f>
        <v/>
      </c>
      <c r="CH21" t="str">
        <f>""</f>
        <v/>
      </c>
      <c r="CI21" t="str">
        <f>""</f>
        <v/>
      </c>
      <c r="CJ21" t="str">
        <f>""</f>
        <v/>
      </c>
      <c r="CK21" t="str">
        <f>""</f>
        <v/>
      </c>
      <c r="CL21" t="str">
        <f>""</f>
        <v/>
      </c>
      <c r="CM21" t="str">
        <f>""</f>
        <v/>
      </c>
      <c r="CN21" t="str">
        <f>""</f>
        <v/>
      </c>
      <c r="CO21" t="str">
        <f>""</f>
        <v/>
      </c>
      <c r="CP21" t="str">
        <f>""</f>
        <v/>
      </c>
      <c r="CQ21" t="str">
        <f>""</f>
        <v/>
      </c>
      <c r="CR21" t="str">
        <f>""</f>
        <v/>
      </c>
      <c r="CS21" t="str">
        <f>""</f>
        <v/>
      </c>
      <c r="CT21" t="str">
        <f>""</f>
        <v/>
      </c>
      <c r="CU21" t="str">
        <f>""</f>
        <v/>
      </c>
      <c r="CV21" t="str">
        <f>""</f>
        <v/>
      </c>
      <c r="CW21" t="str">
        <f>""</f>
        <v/>
      </c>
      <c r="CX21" t="str">
        <f>""</f>
        <v/>
      </c>
      <c r="CY21" t="str">
        <f>""</f>
        <v/>
      </c>
      <c r="CZ21" t="str">
        <f>""</f>
        <v/>
      </c>
      <c r="DA21" t="str">
        <f>""</f>
        <v/>
      </c>
      <c r="DB21" t="str">
        <f>""</f>
        <v/>
      </c>
      <c r="DC21" t="str">
        <f>""</f>
        <v/>
      </c>
      <c r="DD21" t="str">
        <f>""</f>
        <v/>
      </c>
      <c r="DE21" t="str">
        <f>""</f>
        <v/>
      </c>
      <c r="DF21" t="str">
        <f>""</f>
        <v/>
      </c>
      <c r="DG21" t="str">
        <f>""</f>
        <v/>
      </c>
      <c r="DH21" t="str">
        <f>""</f>
        <v/>
      </c>
      <c r="DI21" t="str">
        <f>""</f>
        <v/>
      </c>
      <c r="DJ21" t="str">
        <f>""</f>
        <v/>
      </c>
      <c r="DK21" t="str">
        <f>""</f>
        <v/>
      </c>
      <c r="DL21" t="str">
        <f>""</f>
        <v/>
      </c>
      <c r="DM21" t="str">
        <f>""</f>
        <v/>
      </c>
      <c r="DN21" t="str">
        <f>""</f>
        <v/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 t="str">
        <f>""</f>
        <v/>
      </c>
    </row>
    <row r="22" spans="1:125">
      <c r="A22">
        <f>RTD("bloomberg.ccyreader", "", "#track", "DBG", "BIHITX", "1.0","RepeatHit")</f>
        <v>0</v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  <c r="CH22" t="str">
        <f>""</f>
        <v/>
      </c>
      <c r="CI22" t="str">
        <f>""</f>
        <v/>
      </c>
      <c r="CJ22" t="str">
        <f>""</f>
        <v/>
      </c>
      <c r="CK22" t="str">
        <f>""</f>
        <v/>
      </c>
      <c r="CL22" t="str">
        <f>""</f>
        <v/>
      </c>
      <c r="CM22" t="str">
        <f>""</f>
        <v/>
      </c>
      <c r="CN22" t="str">
        <f>""</f>
        <v/>
      </c>
      <c r="CO22" t="str">
        <f>""</f>
        <v/>
      </c>
      <c r="CP22" t="str">
        <f>""</f>
        <v/>
      </c>
      <c r="CQ22" t="str">
        <f>""</f>
        <v/>
      </c>
      <c r="CR22" t="str">
        <f>""</f>
        <v/>
      </c>
      <c r="CS22" t="str">
        <f>""</f>
        <v/>
      </c>
      <c r="CT22" t="str">
        <f>""</f>
        <v/>
      </c>
      <c r="CU22" t="str">
        <f>""</f>
        <v/>
      </c>
      <c r="CV22" t="str">
        <f>""</f>
        <v/>
      </c>
      <c r="CW22" t="str">
        <f>""</f>
        <v/>
      </c>
      <c r="CX22" t="str">
        <f>""</f>
        <v/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>
      <c r="A23" t="str">
        <f>"货币"</f>
        <v>货币</v>
      </c>
      <c r="B23" t="str">
        <f>"USD"</f>
        <v>USD</v>
      </c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  <c r="BT23" t="str">
        <f>""</f>
        <v/>
      </c>
      <c r="BU23" t="str">
        <f>""</f>
        <v/>
      </c>
      <c r="BV23" t="str">
        <f>""</f>
        <v/>
      </c>
      <c r="BW23" t="str">
        <f>""</f>
        <v/>
      </c>
      <c r="BX23" t="str">
        <f>""</f>
        <v/>
      </c>
      <c r="BY23" t="str">
        <f>""</f>
        <v/>
      </c>
      <c r="BZ23" t="str">
        <f>""</f>
        <v/>
      </c>
      <c r="CA23" t="str">
        <f>""</f>
        <v/>
      </c>
      <c r="CB23" t="str">
        <f>""</f>
        <v/>
      </c>
      <c r="CC23" t="str">
        <f>""</f>
        <v/>
      </c>
      <c r="CD23" t="str">
        <f>""</f>
        <v/>
      </c>
      <c r="CE23" t="str">
        <f>""</f>
        <v/>
      </c>
      <c r="CF23" t="str">
        <f>""</f>
        <v/>
      </c>
      <c r="CG23" t="str">
        <f>""</f>
        <v/>
      </c>
      <c r="CH23" t="str">
        <f>""</f>
        <v/>
      </c>
      <c r="CI23" t="str">
        <f>""</f>
        <v/>
      </c>
      <c r="CJ23" t="str">
        <f>""</f>
        <v/>
      </c>
      <c r="CK23" t="str">
        <f>""</f>
        <v/>
      </c>
      <c r="CL23" t="str">
        <f>""</f>
        <v/>
      </c>
      <c r="CM23" t="str">
        <f>""</f>
        <v/>
      </c>
      <c r="CN23" t="str">
        <f>""</f>
        <v/>
      </c>
      <c r="CO23" t="str">
        <f>""</f>
        <v/>
      </c>
      <c r="CP23" t="str">
        <f>""</f>
        <v/>
      </c>
      <c r="CQ23" t="str">
        <f>""</f>
        <v/>
      </c>
      <c r="CR23" t="str">
        <f>""</f>
        <v/>
      </c>
      <c r="CS23" t="str">
        <f>""</f>
        <v/>
      </c>
      <c r="CT23" t="str">
        <f>""</f>
        <v/>
      </c>
      <c r="CU23" t="str">
        <f>""</f>
        <v/>
      </c>
      <c r="CV23" t="str">
        <f>""</f>
        <v/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>
      <c r="A24" t="str">
        <f>"周期"</f>
        <v>周期</v>
      </c>
      <c r="B24" t="str">
        <f>"CQ"</f>
        <v>CQ</v>
      </c>
      <c r="C24" t="str">
        <f>"AQ"</f>
        <v>AQ</v>
      </c>
      <c r="BN24" t="str">
        <f>""</f>
        <v/>
      </c>
      <c r="BO24" t="str">
        <f>""</f>
        <v/>
      </c>
      <c r="BP24" t="str">
        <f>""</f>
        <v/>
      </c>
      <c r="BQ24" t="str">
        <f>""</f>
        <v/>
      </c>
      <c r="BR24" t="str">
        <f>""</f>
        <v/>
      </c>
      <c r="BS24" t="str">
        <f>""</f>
        <v/>
      </c>
      <c r="BT24" t="str">
        <f>""</f>
        <v/>
      </c>
      <c r="BU24" t="str">
        <f>""</f>
        <v/>
      </c>
      <c r="BV24" t="str">
        <f>""</f>
        <v/>
      </c>
      <c r="BW24" t="str">
        <f>""</f>
        <v/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  <c r="CI24" t="str">
        <f>""</f>
        <v/>
      </c>
      <c r="CJ24" t="str">
        <f>""</f>
        <v/>
      </c>
      <c r="CK24" t="str">
        <f>""</f>
        <v/>
      </c>
      <c r="CL24" t="str">
        <f>""</f>
        <v/>
      </c>
      <c r="CM24" t="str">
        <f>""</f>
        <v/>
      </c>
      <c r="CN24" t="str">
        <f>""</f>
        <v/>
      </c>
      <c r="CO24" t="str">
        <f>""</f>
        <v/>
      </c>
      <c r="CP24" t="str">
        <f>""</f>
        <v/>
      </c>
      <c r="CQ24" t="str">
        <f>""</f>
        <v/>
      </c>
      <c r="CR24" t="str">
        <f>""</f>
        <v/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>
      <c r="A25" t="str">
        <f>"周期数"</f>
        <v>周期数</v>
      </c>
      <c r="B25">
        <f>60</f>
        <v>60</v>
      </c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  <c r="CI25" t="str">
        <f>""</f>
        <v/>
      </c>
      <c r="CJ25" t="str">
        <f>""</f>
        <v/>
      </c>
      <c r="CK25" t="str">
        <f>""</f>
        <v/>
      </c>
      <c r="CL25" t="str">
        <f>""</f>
        <v/>
      </c>
      <c r="CM25" t="str">
        <f>""</f>
        <v/>
      </c>
      <c r="CN25" t="str">
        <f>""</f>
        <v/>
      </c>
      <c r="CO25" t="str">
        <f>""</f>
        <v/>
      </c>
      <c r="CP25" t="str">
        <f>""</f>
        <v/>
      </c>
      <c r="CQ25" t="str">
        <f>""</f>
        <v/>
      </c>
      <c r="CR25" t="str">
        <f>""</f>
        <v/>
      </c>
      <c r="CS25" t="str">
        <f>""</f>
        <v/>
      </c>
      <c r="CT25" t="str">
        <f>""</f>
        <v/>
      </c>
      <c r="CU25" t="str">
        <f>""</f>
        <v/>
      </c>
      <c r="CV25" t="str">
        <f>""</f>
        <v/>
      </c>
      <c r="CW25" t="str">
        <f>""</f>
        <v/>
      </c>
      <c r="CX25" t="str">
        <f>""</f>
        <v/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>
      <c r="A26" t="str">
        <f>"起始日期"</f>
        <v>起始日期</v>
      </c>
      <c r="B26" t="str">
        <f>CONCATENATE("-",$B$25,$B$24)</f>
        <v>-60CQ</v>
      </c>
      <c r="C26" t="str">
        <f>CONCATENATE("-",$B$25,$C$24)</f>
        <v>-60AQ</v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A27" t="str">
        <f>"End Date"</f>
        <v>End Date</v>
      </c>
      <c r="B27">
        <f ca="1">TODAY()</f>
        <v>43173</v>
      </c>
      <c r="BN27" t="str">
        <f>""</f>
        <v/>
      </c>
      <c r="BO27" t="str">
        <f>""</f>
        <v/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  <c r="BT27" t="str">
        <f>""</f>
        <v/>
      </c>
      <c r="BU27" t="str">
        <f>""</f>
        <v/>
      </c>
      <c r="BV27" t="str">
        <f>""</f>
        <v/>
      </c>
      <c r="BW27" t="str">
        <f>""</f>
        <v/>
      </c>
      <c r="BX27" t="str">
        <f>""</f>
        <v/>
      </c>
      <c r="BY27" t="str">
        <f>""</f>
        <v/>
      </c>
      <c r="BZ27" t="str">
        <f>""</f>
        <v/>
      </c>
      <c r="CA27" t="str">
        <f>""</f>
        <v/>
      </c>
      <c r="CB27" t="str">
        <f>""</f>
        <v/>
      </c>
      <c r="CC27" t="str">
        <f>""</f>
        <v/>
      </c>
      <c r="CD27" t="str">
        <f>""</f>
        <v/>
      </c>
      <c r="CE27" t="str">
        <f>""</f>
        <v/>
      </c>
      <c r="CF27" t="str">
        <f>""</f>
        <v/>
      </c>
      <c r="CG27" t="str">
        <f>""</f>
        <v/>
      </c>
      <c r="CH27" t="str">
        <f>""</f>
        <v/>
      </c>
      <c r="CI27" t="str">
        <f>""</f>
        <v/>
      </c>
      <c r="CJ27" t="str">
        <f>""</f>
        <v/>
      </c>
      <c r="CK27" t="str">
        <f>""</f>
        <v/>
      </c>
      <c r="CL27" t="str">
        <f>""</f>
        <v/>
      </c>
      <c r="CM27" t="str">
        <f>""</f>
        <v/>
      </c>
      <c r="CN27" t="str">
        <f>""</f>
        <v/>
      </c>
      <c r="CO27" t="str">
        <f>""</f>
        <v/>
      </c>
      <c r="CP27" t="str">
        <f>""</f>
        <v/>
      </c>
      <c r="CQ27" t="str">
        <f>""</f>
        <v/>
      </c>
      <c r="CR27" t="str">
        <f>""</f>
        <v/>
      </c>
      <c r="CS27" t="str">
        <f>""</f>
        <v/>
      </c>
      <c r="CT27" t="str">
        <f>""</f>
        <v/>
      </c>
      <c r="CU27" t="str">
        <f>""</f>
        <v/>
      </c>
      <c r="CV27" t="str">
        <f>""</f>
        <v/>
      </c>
      <c r="CW27" t="str">
        <f>""</f>
        <v/>
      </c>
      <c r="CX27" t="str">
        <f>""</f>
        <v/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A28" t="str">
        <f>"HeaderStatus"</f>
        <v>HeaderStatus</v>
      </c>
      <c r="B28">
        <f ca="1">$B$57*$B$65</f>
        <v>4</v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  <c r="CH28" t="str">
        <f>""</f>
        <v/>
      </c>
      <c r="CI28" t="str">
        <f>""</f>
        <v/>
      </c>
      <c r="CJ28" t="str">
        <f>""</f>
        <v/>
      </c>
      <c r="CK28" t="str">
        <f>""</f>
        <v/>
      </c>
      <c r="CL28" t="str">
        <f>""</f>
        <v/>
      </c>
      <c r="CM28" t="str">
        <f>""</f>
        <v/>
      </c>
      <c r="CN28" t="str">
        <f>""</f>
        <v/>
      </c>
      <c r="CO28" t="str">
        <f>""</f>
        <v/>
      </c>
      <c r="CP28" t="str">
        <f>""</f>
        <v/>
      </c>
      <c r="CQ28" t="str">
        <f>""</f>
        <v/>
      </c>
      <c r="CR28" t="str">
        <f>""</f>
        <v/>
      </c>
      <c r="CS28" t="str">
        <f>""</f>
        <v/>
      </c>
      <c r="CT28" t="str">
        <f>""</f>
        <v/>
      </c>
      <c r="CU28" t="str">
        <f>""</f>
        <v/>
      </c>
      <c r="CV28" t="str">
        <f>""</f>
        <v/>
      </c>
      <c r="CW28" t="str">
        <f>""</f>
        <v/>
      </c>
      <c r="CX28" t="str">
        <f>""</f>
        <v/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B30" t="str">
        <f>"RECFTAHC Index"</f>
        <v>RECFTAHC Index</v>
      </c>
      <c r="C30" t="str">
        <f>"PR005"</f>
        <v>PR005</v>
      </c>
      <c r="D30" t="str">
        <f>"PX_LAST"</f>
        <v>PX_LAST</v>
      </c>
      <c r="E30" t="str">
        <f>"动态"</f>
        <v>动态</v>
      </c>
      <c r="F30" t="str">
        <f ca="1">BDH($B$30,$C$30,$B$26,$B$27,CONCATENATE("Per=",$B$24),"Dts=H","Dir=H",CONCATENATE("Points=",$B$25),"Sort=R","Days=A","Fill=B",CONCATENATE("FX=", $B$23) )</f>
        <v>#N/A Requesting Data...</v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  <c r="CH30" t="str">
        <f>""</f>
        <v/>
      </c>
      <c r="CI30" t="str">
        <f>""</f>
        <v/>
      </c>
      <c r="CJ30" t="str">
        <f>""</f>
        <v/>
      </c>
      <c r="CK30" t="str">
        <f>""</f>
        <v/>
      </c>
      <c r="CL30" t="str">
        <f>""</f>
        <v/>
      </c>
      <c r="CM30" t="str">
        <f>""</f>
        <v/>
      </c>
      <c r="CN30" t="str">
        <f>""</f>
        <v/>
      </c>
      <c r="CO30" t="str">
        <f>""</f>
        <v/>
      </c>
      <c r="CP30" t="str">
        <f>""</f>
        <v/>
      </c>
      <c r="CQ30" t="str">
        <f>""</f>
        <v/>
      </c>
      <c r="CR30" t="str">
        <f>""</f>
        <v/>
      </c>
      <c r="CS30" t="str">
        <f>""</f>
        <v/>
      </c>
      <c r="CT30" t="str">
        <f>""</f>
        <v/>
      </c>
      <c r="CU30" t="str">
        <f>""</f>
        <v/>
      </c>
      <c r="CV30" t="str">
        <f>""</f>
        <v/>
      </c>
      <c r="CW30" t="str">
        <f>""</f>
        <v/>
      </c>
      <c r="CX30" t="str">
        <f>""</f>
        <v/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B31" t="str">
        <f>"RECFDSHC Index"</f>
        <v>RECFDSHC Index</v>
      </c>
      <c r="C31" t="str">
        <f>"PR005"</f>
        <v>PR005</v>
      </c>
      <c r="D31" t="str">
        <f>"PX_LAST"</f>
        <v>PX_LAST</v>
      </c>
      <c r="E31" t="str">
        <f>"动态"</f>
        <v>动态</v>
      </c>
      <c r="F31" t="str">
        <f ca="1">BDH($B$31,$C$31,$B$26,$B$27,CONCATENATE("Per=",$B$24),"Dts=H","Dir=H",CONCATENATE("Points=",$B$25),"Sort=R","Days=A","Fill=B",CONCATENATE("FX=", $B$23) )</f>
        <v>#N/A Requesting Data...</v>
      </c>
      <c r="BN31" t="str">
        <f>""</f>
        <v/>
      </c>
      <c r="BO31" t="str">
        <f>""</f>
        <v/>
      </c>
      <c r="BP31" t="str">
        <f>""</f>
        <v/>
      </c>
      <c r="BQ31" t="str">
        <f>""</f>
        <v/>
      </c>
      <c r="BR31" t="str">
        <f>""</f>
        <v/>
      </c>
      <c r="BS31" t="str">
        <f>""</f>
        <v/>
      </c>
      <c r="BT31" t="str">
        <f>""</f>
        <v/>
      </c>
      <c r="BU31" t="str">
        <f>""</f>
        <v/>
      </c>
      <c r="BV31" t="str">
        <f>""</f>
        <v/>
      </c>
      <c r="BW31" t="str">
        <f>""</f>
        <v/>
      </c>
      <c r="BX31" t="str">
        <f>""</f>
        <v/>
      </c>
      <c r="BY31" t="str">
        <f>""</f>
        <v/>
      </c>
      <c r="BZ31" t="str">
        <f>""</f>
        <v/>
      </c>
      <c r="CA31" t="str">
        <f>""</f>
        <v/>
      </c>
      <c r="CB31" t="str">
        <f>""</f>
        <v/>
      </c>
      <c r="CC31" t="str">
        <f>""</f>
        <v/>
      </c>
      <c r="CD31" t="str">
        <f>""</f>
        <v/>
      </c>
      <c r="CE31" t="str">
        <f>""</f>
        <v/>
      </c>
      <c r="CF31" t="str">
        <f>""</f>
        <v/>
      </c>
      <c r="CG31" t="str">
        <f>""</f>
        <v/>
      </c>
      <c r="CH31" t="str">
        <f>""</f>
        <v/>
      </c>
      <c r="CI31" t="str">
        <f>""</f>
        <v/>
      </c>
      <c r="CJ31" t="str">
        <f>""</f>
        <v/>
      </c>
      <c r="CK31" t="str">
        <f>""</f>
        <v/>
      </c>
      <c r="CL31" t="str">
        <f>""</f>
        <v/>
      </c>
      <c r="CM31" t="str">
        <f>""</f>
        <v/>
      </c>
      <c r="CN31" t="str">
        <f>""</f>
        <v/>
      </c>
      <c r="CO31" t="str">
        <f>""</f>
        <v/>
      </c>
      <c r="CP31" t="str">
        <f>""</f>
        <v/>
      </c>
      <c r="CQ31" t="str">
        <f>""</f>
        <v/>
      </c>
      <c r="CR31" t="str">
        <f>""</f>
        <v/>
      </c>
      <c r="CS31" t="str">
        <f>""</f>
        <v/>
      </c>
      <c r="CT31" t="str">
        <f>""</f>
        <v/>
      </c>
      <c r="CU31" t="str">
        <f>""</f>
        <v/>
      </c>
      <c r="CV31" t="str">
        <f>""</f>
        <v/>
      </c>
      <c r="CW31" t="str">
        <f>""</f>
        <v/>
      </c>
      <c r="CX31" t="str">
        <f>""</f>
        <v/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  <c r="DT31" t="str">
        <f>""</f>
        <v/>
      </c>
      <c r="DU31" t="str">
        <f>""</f>
        <v/>
      </c>
    </row>
    <row r="32" spans="1:125">
      <c r="B32" t="str">
        <f>"RECFNAHC Index"</f>
        <v>RECFNAHC Index</v>
      </c>
      <c r="C32" t="str">
        <f>"PR005"</f>
        <v>PR005</v>
      </c>
      <c r="D32" t="str">
        <f>"PX_LAST"</f>
        <v>PX_LAST</v>
      </c>
      <c r="E32" t="str">
        <f>"动态"</f>
        <v>动态</v>
      </c>
      <c r="F32" t="str">
        <f ca="1">BDH($B$32,$C$32,$B$26,$B$27,CONCATENATE("Per=",$B$24),"Dts=H","Dir=H",CONCATENATE("Points=",$B$25),"Sort=R","Days=A","Fill=B",CONCATENATE("FX=", $B$23) )</f>
        <v>#N/A Requesting Data...</v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  <c r="BT32" t="str">
        <f>""</f>
        <v/>
      </c>
      <c r="BU32" t="str">
        <f>""</f>
        <v/>
      </c>
      <c r="BV32" t="str">
        <f>""</f>
        <v/>
      </c>
      <c r="BW32" t="str">
        <f>""</f>
        <v/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  <c r="CI32" t="str">
        <f>""</f>
        <v/>
      </c>
      <c r="CJ32" t="str">
        <f>""</f>
        <v/>
      </c>
      <c r="CK32" t="str">
        <f>""</f>
        <v/>
      </c>
      <c r="CL32" t="str">
        <f>""</f>
        <v/>
      </c>
      <c r="CM32" t="str">
        <f>""</f>
        <v/>
      </c>
      <c r="CN32" t="str">
        <f>""</f>
        <v/>
      </c>
      <c r="CO32" t="str">
        <f>""</f>
        <v/>
      </c>
      <c r="CP32" t="str">
        <f>""</f>
        <v/>
      </c>
      <c r="CQ32" t="str">
        <f>""</f>
        <v/>
      </c>
      <c r="CR32" t="str">
        <f>""</f>
        <v/>
      </c>
      <c r="CS32" t="str">
        <f>""</f>
        <v/>
      </c>
      <c r="CT32" t="str">
        <f>""</f>
        <v/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>
      <c r="A33" t="str">
        <f>$A$5</f>
        <v xml:space="preserve">    医疗保健房地产投资信托同店净营业利润增长</v>
      </c>
      <c r="B33" t="str">
        <f>$B$5</f>
        <v>RECFSSHC Index</v>
      </c>
      <c r="C33" t="str">
        <f>$C$5</f>
        <v>PR005</v>
      </c>
      <c r="D33" t="str">
        <f>$D$5</f>
        <v>PX_LAST</v>
      </c>
      <c r="E33" t="str">
        <f>$E$5</f>
        <v>动态</v>
      </c>
      <c r="F33" t="str">
        <f ca="1">BDH($B$5,$C$5,$B$26,$B$27,CONCATENATE("Per=",$B$24),"Dts=H","Dir=H",CONCATENATE("Points=",$B$25),"Sort=R","Days=A","Fill=B",CONCATENATE("FX=", $B$23) )</f>
        <v>#N/A Requesting Data...</v>
      </c>
      <c r="BN33" t="str">
        <f>""</f>
        <v/>
      </c>
      <c r="BO33" t="str">
        <f>""</f>
        <v/>
      </c>
      <c r="BP33" t="str">
        <f>""</f>
        <v/>
      </c>
      <c r="BQ33" t="str">
        <f>""</f>
        <v/>
      </c>
      <c r="BR33" t="str">
        <f>""</f>
        <v/>
      </c>
      <c r="BS33" t="str">
        <f>""</f>
        <v/>
      </c>
      <c r="BT33" t="str">
        <f>""</f>
        <v/>
      </c>
      <c r="BU33" t="str">
        <f>""</f>
        <v/>
      </c>
      <c r="BV33" t="str">
        <f>""</f>
        <v/>
      </c>
      <c r="BW33" t="str">
        <f>""</f>
        <v/>
      </c>
      <c r="BX33" t="str">
        <f>""</f>
        <v/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 t="str">
        <f>""</f>
        <v/>
      </c>
      <c r="CE33" t="str">
        <f>""</f>
        <v/>
      </c>
      <c r="CF33" t="str">
        <f>""</f>
        <v/>
      </c>
      <c r="CG33" t="str">
        <f>""</f>
        <v/>
      </c>
      <c r="CH33" t="str">
        <f>""</f>
        <v/>
      </c>
      <c r="CI33" t="str">
        <f>""</f>
        <v/>
      </c>
      <c r="CJ33" t="str">
        <f>""</f>
        <v/>
      </c>
      <c r="CK33" t="str">
        <f>""</f>
        <v/>
      </c>
      <c r="CL33" t="str">
        <f>""</f>
        <v/>
      </c>
      <c r="CM33" t="str">
        <f>""</f>
        <v/>
      </c>
      <c r="CN33" t="str">
        <f>""</f>
        <v/>
      </c>
      <c r="CO33" t="str">
        <f>""</f>
        <v/>
      </c>
      <c r="CP33" t="str">
        <f>""</f>
        <v/>
      </c>
      <c r="CQ33" t="str">
        <f>""</f>
        <v/>
      </c>
      <c r="CR33" t="str">
        <f>""</f>
        <v/>
      </c>
      <c r="CS33" t="str">
        <f>""</f>
        <v/>
      </c>
      <c r="CT33" t="str">
        <f>""</f>
        <v/>
      </c>
      <c r="CU33" t="str">
        <f>""</f>
        <v/>
      </c>
      <c r="CV33" t="str">
        <f>""</f>
        <v/>
      </c>
      <c r="CW33" t="str">
        <f>""</f>
        <v/>
      </c>
      <c r="CX33" t="str">
        <f>""</f>
        <v/>
      </c>
      <c r="CY33" t="str">
        <f>""</f>
        <v/>
      </c>
      <c r="CZ33" t="str">
        <f>""</f>
        <v/>
      </c>
      <c r="DA33" t="str">
        <f>""</f>
        <v/>
      </c>
      <c r="DB33" t="str">
        <f>""</f>
        <v/>
      </c>
      <c r="DC33" t="str">
        <f>""</f>
        <v/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  <c r="DT33" t="str">
        <f>""</f>
        <v/>
      </c>
      <c r="DU33" t="str">
        <f>""</f>
        <v/>
      </c>
    </row>
    <row r="34" spans="1:125">
      <c r="A34" t="str">
        <f>$A$6</f>
        <v xml:space="preserve">    医疗保健房地产投资信托总营运现金流</v>
      </c>
      <c r="B34" t="str">
        <f>$B$6</f>
        <v>RECFFOHC Index</v>
      </c>
      <c r="C34" t="str">
        <f>$C$6</f>
        <v>PR005</v>
      </c>
      <c r="D34" t="str">
        <f>$D$6</f>
        <v>PX_LAST</v>
      </c>
      <c r="E34" t="str">
        <f>$E$6</f>
        <v>动态</v>
      </c>
      <c r="F34" t="str">
        <f ca="1">BDH($B$6,$C$6,$B$26,$B$27,CONCATENATE("Per=",$B$24),"Dts=H","Dir=H",CONCATENATE("Points=",$B$25),"Sort=R","Days=A","Fill=B",CONCATENATE("FX=", $B$23) )</f>
        <v>#N/A Requesting Data...</v>
      </c>
      <c r="BN34" t="str">
        <f>""</f>
        <v/>
      </c>
      <c r="BO34" t="str">
        <f>""</f>
        <v/>
      </c>
      <c r="BP34" t="str">
        <f>""</f>
        <v/>
      </c>
      <c r="BQ34" t="str">
        <f>""</f>
        <v/>
      </c>
      <c r="BR34" t="str">
        <f>""</f>
        <v/>
      </c>
      <c r="BS34" t="str">
        <f>""</f>
        <v/>
      </c>
      <c r="BT34" t="str">
        <f>""</f>
        <v/>
      </c>
      <c r="BU34" t="str">
        <f>""</f>
        <v/>
      </c>
      <c r="BV34" t="str">
        <f>""</f>
        <v/>
      </c>
      <c r="BW34" t="str">
        <f>""</f>
        <v/>
      </c>
      <c r="BX34" t="str">
        <f>""</f>
        <v/>
      </c>
      <c r="BY34" t="str">
        <f>""</f>
        <v/>
      </c>
      <c r="BZ34" t="str">
        <f>""</f>
        <v/>
      </c>
      <c r="CA34" t="str">
        <f>""</f>
        <v/>
      </c>
      <c r="CB34" t="str">
        <f>""</f>
        <v/>
      </c>
      <c r="CC34" t="str">
        <f>""</f>
        <v/>
      </c>
      <c r="CD34" t="str">
        <f>""</f>
        <v/>
      </c>
      <c r="CE34" t="str">
        <f>""</f>
        <v/>
      </c>
      <c r="CF34" t="str">
        <f>""</f>
        <v/>
      </c>
      <c r="CG34" t="str">
        <f>""</f>
        <v/>
      </c>
      <c r="CH34" t="str">
        <f>""</f>
        <v/>
      </c>
      <c r="CI34" t="str">
        <f>""</f>
        <v/>
      </c>
      <c r="CJ34" t="str">
        <f>""</f>
        <v/>
      </c>
      <c r="CK34" t="str">
        <f>""</f>
        <v/>
      </c>
      <c r="CL34" t="str">
        <f>""</f>
        <v/>
      </c>
      <c r="CM34" t="str">
        <f>""</f>
        <v/>
      </c>
      <c r="CN34" t="str">
        <f>""</f>
        <v/>
      </c>
      <c r="CO34" t="str">
        <f>""</f>
        <v/>
      </c>
      <c r="CP34" t="str">
        <f>""</f>
        <v/>
      </c>
      <c r="CQ34" t="str">
        <f>""</f>
        <v/>
      </c>
      <c r="CR34" t="str">
        <f>""</f>
        <v/>
      </c>
      <c r="CS34" t="str">
        <f>""</f>
        <v/>
      </c>
      <c r="CT34" t="str">
        <f>""</f>
        <v/>
      </c>
      <c r="CU34" t="str">
        <f>""</f>
        <v/>
      </c>
      <c r="CV34" t="str">
        <f>""</f>
        <v/>
      </c>
      <c r="CW34" t="str">
        <f>""</f>
        <v/>
      </c>
      <c r="CX34" t="str">
        <f>""</f>
        <v/>
      </c>
      <c r="CY34" t="str">
        <f>""</f>
        <v/>
      </c>
      <c r="CZ34" t="str">
        <f>""</f>
        <v/>
      </c>
      <c r="DA34" t="str">
        <f>""</f>
        <v/>
      </c>
      <c r="DB34" t="str">
        <f>""</f>
        <v/>
      </c>
      <c r="DC34" t="str">
        <f>""</f>
        <v/>
      </c>
      <c r="DD34" t="str">
        <f>""</f>
        <v/>
      </c>
      <c r="DE34" t="str">
        <f>""</f>
        <v/>
      </c>
      <c r="DF34" t="str">
        <f>""</f>
        <v/>
      </c>
      <c r="DG34" t="str">
        <f>""</f>
        <v/>
      </c>
      <c r="DH34" t="str">
        <f>""</f>
        <v/>
      </c>
      <c r="DI34" t="str">
        <f>""</f>
        <v/>
      </c>
      <c r="DJ34" t="str">
        <f>""</f>
        <v/>
      </c>
      <c r="DK34" t="str">
        <f>""</f>
        <v/>
      </c>
      <c r="DL34" t="str">
        <f>""</f>
        <v/>
      </c>
      <c r="DM34" t="str">
        <f>""</f>
        <v/>
      </c>
      <c r="DN34" t="str">
        <f>""</f>
        <v/>
      </c>
      <c r="DO34" t="str">
        <f>""</f>
        <v/>
      </c>
      <c r="DP34" t="str">
        <f>""</f>
        <v/>
      </c>
      <c r="DQ34" t="str">
        <f>""</f>
        <v/>
      </c>
      <c r="DR34" t="str">
        <f>""</f>
        <v/>
      </c>
      <c r="DS34" t="str">
        <f>""</f>
        <v/>
      </c>
      <c r="DT34" t="str">
        <f>""</f>
        <v/>
      </c>
      <c r="DU34" t="str">
        <f>""</f>
        <v/>
      </c>
    </row>
    <row r="35" spans="1:125">
      <c r="A35" t="str">
        <f>$A$7</f>
        <v xml:space="preserve">    医疗保健房地产投资信托净营业利润总额</v>
      </c>
      <c r="B35" t="str">
        <f>$B$7</f>
        <v>RECFNOHC Index</v>
      </c>
      <c r="C35" t="str">
        <f>$C$7</f>
        <v>PR005</v>
      </c>
      <c r="D35" t="str">
        <f>$D$7</f>
        <v>PX_LAST</v>
      </c>
      <c r="E35" t="str">
        <f>$E$7</f>
        <v>动态</v>
      </c>
      <c r="F35" t="str">
        <f ca="1">BDH($B$7,$C$7,$B$26,$B$27,CONCATENATE("Per=",$B$24),"Dts=H","Dir=H",CONCATENATE("Points=",$B$25),"Sort=R","Days=A","Fill=B",CONCATENATE("FX=", $B$23) )</f>
        <v>#N/A Requesting Data...</v>
      </c>
      <c r="BN35" t="str">
        <f>""</f>
        <v/>
      </c>
      <c r="BO35" t="str">
        <f>""</f>
        <v/>
      </c>
      <c r="BP35" t="str">
        <f>""</f>
        <v/>
      </c>
      <c r="BQ35" t="str">
        <f>""</f>
        <v/>
      </c>
      <c r="BR35" t="str">
        <f>""</f>
        <v/>
      </c>
      <c r="BS35" t="str">
        <f>""</f>
        <v/>
      </c>
      <c r="BT35" t="str">
        <f>""</f>
        <v/>
      </c>
      <c r="BU35" t="str">
        <f>""</f>
        <v/>
      </c>
      <c r="BV35" t="str">
        <f>""</f>
        <v/>
      </c>
      <c r="BW35" t="str">
        <f>""</f>
        <v/>
      </c>
      <c r="BX35" t="str">
        <f>""</f>
        <v/>
      </c>
      <c r="BY35" t="str">
        <f>""</f>
        <v/>
      </c>
      <c r="BZ35" t="str">
        <f>""</f>
        <v/>
      </c>
      <c r="CA35" t="str">
        <f>""</f>
        <v/>
      </c>
      <c r="CB35" t="str">
        <f>""</f>
        <v/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  <c r="CH35" t="str">
        <f>""</f>
        <v/>
      </c>
      <c r="CI35" t="str">
        <f>""</f>
        <v/>
      </c>
      <c r="CJ35" t="str">
        <f>""</f>
        <v/>
      </c>
      <c r="CK35" t="str">
        <f>""</f>
        <v/>
      </c>
      <c r="CL35" t="str">
        <f>""</f>
        <v/>
      </c>
      <c r="CM35" t="str">
        <f>""</f>
        <v/>
      </c>
      <c r="CN35" t="str">
        <f>""</f>
        <v/>
      </c>
      <c r="CO35" t="str">
        <f>""</f>
        <v/>
      </c>
      <c r="CP35" t="str">
        <f>""</f>
        <v/>
      </c>
      <c r="CQ35" t="str">
        <f>""</f>
        <v/>
      </c>
      <c r="CR35" t="str">
        <f>""</f>
        <v/>
      </c>
      <c r="CS35" t="str">
        <f>""</f>
        <v/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$A$8</f>
        <v xml:space="preserve">    医疗保健房地产投资信托总股利支付</v>
      </c>
      <c r="B36" t="str">
        <f>$B$8</f>
        <v>RECFTDHC Index</v>
      </c>
      <c r="C36" t="str">
        <f>$C$8</f>
        <v>PR005</v>
      </c>
      <c r="D36" t="str">
        <f>$D$8</f>
        <v>PX_LAST</v>
      </c>
      <c r="E36" t="str">
        <f>$E$8</f>
        <v>动态</v>
      </c>
      <c r="F36" t="str">
        <f ca="1">BDH($B$8,$C$8,$B$26,$B$27,CONCATENATE("Per=",$B$24),"Dts=H","Dir=H",CONCATENATE("Points=",$B$25),"Sort=R","Days=A","Fill=B",CONCATENATE("FX=", $B$23) )</f>
        <v>#N/A Requesting Data...</v>
      </c>
      <c r="BN36" t="str">
        <f>""</f>
        <v/>
      </c>
      <c r="BO36" t="str">
        <f>""</f>
        <v/>
      </c>
      <c r="BP36" t="str">
        <f>""</f>
        <v/>
      </c>
      <c r="BQ36" t="str">
        <f>""</f>
        <v/>
      </c>
      <c r="BR36" t="str">
        <f>""</f>
        <v/>
      </c>
      <c r="BS36" t="str">
        <f>""</f>
        <v/>
      </c>
      <c r="BT36" t="str">
        <f>""</f>
        <v/>
      </c>
      <c r="BU36" t="str">
        <f>""</f>
        <v/>
      </c>
      <c r="BV36" t="str">
        <f>""</f>
        <v/>
      </c>
      <c r="BW36" t="str">
        <f>""</f>
        <v/>
      </c>
      <c r="BX36" t="str">
        <f>""</f>
        <v/>
      </c>
      <c r="BY36" t="str">
        <f>""</f>
        <v/>
      </c>
      <c r="BZ36" t="str">
        <f>""</f>
        <v/>
      </c>
      <c r="CA36" t="str">
        <f>""</f>
        <v/>
      </c>
      <c r="CB36" t="str">
        <f>""</f>
        <v/>
      </c>
      <c r="CC36" t="str">
        <f>""</f>
        <v/>
      </c>
      <c r="CD36" t="str">
        <f>""</f>
        <v/>
      </c>
      <c r="CE36" t="str">
        <f>""</f>
        <v/>
      </c>
      <c r="CF36" t="str">
        <f>""</f>
        <v/>
      </c>
      <c r="CG36" t="str">
        <f>""</f>
        <v/>
      </c>
      <c r="CH36" t="str">
        <f>""</f>
        <v/>
      </c>
      <c r="CI36" t="str">
        <f>""</f>
        <v/>
      </c>
      <c r="CJ36" t="str">
        <f>""</f>
        <v/>
      </c>
      <c r="CK36" t="str">
        <f>""</f>
        <v/>
      </c>
      <c r="CL36" t="str">
        <f>""</f>
        <v/>
      </c>
      <c r="CM36" t="str">
        <f>""</f>
        <v/>
      </c>
      <c r="CN36" t="str">
        <f>""</f>
        <v/>
      </c>
      <c r="CO36" t="str">
        <f>""</f>
        <v/>
      </c>
      <c r="CP36" t="str">
        <f>""</f>
        <v/>
      </c>
      <c r="CQ36" t="str">
        <f>""</f>
        <v/>
      </c>
      <c r="CR36" t="str">
        <f>""</f>
        <v/>
      </c>
      <c r="CS36" t="str">
        <f>""</f>
        <v/>
      </c>
      <c r="CT36" t="str">
        <f>""</f>
        <v/>
      </c>
      <c r="CU36" t="str">
        <f>""</f>
        <v/>
      </c>
      <c r="CV36" t="str">
        <f>""</f>
        <v/>
      </c>
      <c r="CW36" t="str">
        <f>""</f>
        <v/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>
      <c r="A37" t="str">
        <f>$A$12</f>
        <v xml:space="preserve">    医疗保健房地产投资信托总开发渠道</v>
      </c>
      <c r="B37" t="str">
        <f>$B$12</f>
        <v>RECFDVHC Index</v>
      </c>
      <c r="C37" t="str">
        <f>$C$12</f>
        <v>PR005</v>
      </c>
      <c r="D37" t="str">
        <f>$D$12</f>
        <v>PX_LAST</v>
      </c>
      <c r="E37" t="str">
        <f>$E$12</f>
        <v>动态</v>
      </c>
      <c r="F37" t="str">
        <f ca="1">BDH($B$12,$C$12,$B$26,$B$27,CONCATENATE("Per=",$B$24),"Dts=H","Dir=H",CONCATENATE("Points=",$B$25),"Sort=R","Days=A","Fill=B",CONCATENATE("FX=", $B$23) )</f>
        <v>#N/A Requesting Data...</v>
      </c>
      <c r="BN37" t="str">
        <f>""</f>
        <v/>
      </c>
      <c r="BO37" t="str">
        <f>""</f>
        <v/>
      </c>
      <c r="BP37" t="str">
        <f>""</f>
        <v/>
      </c>
      <c r="BQ37" t="str">
        <f>""</f>
        <v/>
      </c>
      <c r="BR37" t="str">
        <f>""</f>
        <v/>
      </c>
      <c r="BS37" t="str">
        <f>""</f>
        <v/>
      </c>
      <c r="BT37" t="str">
        <f>""</f>
        <v/>
      </c>
      <c r="BU37" t="str">
        <f>""</f>
        <v/>
      </c>
      <c r="BV37" t="str">
        <f>""</f>
        <v/>
      </c>
      <c r="BW37" t="str">
        <f>""</f>
        <v/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  <c r="CH37" t="str">
        <f>""</f>
        <v/>
      </c>
      <c r="CI37" t="str">
        <f>""</f>
        <v/>
      </c>
      <c r="CJ37" t="str">
        <f>""</f>
        <v/>
      </c>
      <c r="CK37" t="str">
        <f>""</f>
        <v/>
      </c>
      <c r="CL37" t="str">
        <f>""</f>
        <v/>
      </c>
      <c r="CM37" t="str">
        <f>""</f>
        <v/>
      </c>
      <c r="CN37" t="str">
        <f>""</f>
        <v/>
      </c>
      <c r="CO37" t="str">
        <f>""</f>
        <v/>
      </c>
      <c r="CP37" t="str">
        <f>""</f>
        <v/>
      </c>
      <c r="CQ37" t="str">
        <f>""</f>
        <v/>
      </c>
      <c r="CR37" t="str">
        <f>""</f>
        <v/>
      </c>
      <c r="CS37" t="str">
        <f>""</f>
        <v/>
      </c>
      <c r="CT37" t="str">
        <f>""</f>
        <v/>
      </c>
      <c r="CU37" t="str">
        <f>""</f>
        <v/>
      </c>
      <c r="CV37" t="str">
        <f>""</f>
        <v/>
      </c>
      <c r="CW37" t="str">
        <f>""</f>
        <v/>
      </c>
      <c r="CX37" t="str">
        <f>""</f>
        <v/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  <c r="DT37" t="str">
        <f>""</f>
        <v/>
      </c>
      <c r="DU37" t="str">
        <f>""</f>
        <v/>
      </c>
    </row>
    <row r="38" spans="1:125">
      <c r="A38" t="str">
        <f>""</f>
        <v/>
      </c>
      <c r="B38" t="str">
        <f>""</f>
        <v/>
      </c>
      <c r="C38" t="str">
        <f>""</f>
        <v/>
      </c>
      <c r="D38" t="str">
        <f>""</f>
        <v/>
      </c>
      <c r="E38" t="str">
        <f>""</f>
        <v/>
      </c>
      <c r="BN38" t="str">
        <f>""</f>
        <v/>
      </c>
      <c r="BO38" t="str">
        <f>""</f>
        <v/>
      </c>
      <c r="BP38" t="str">
        <f>""</f>
        <v/>
      </c>
      <c r="BQ38" t="str">
        <f>""</f>
        <v/>
      </c>
      <c r="BR38" t="str">
        <f>""</f>
        <v/>
      </c>
      <c r="BS38" t="str">
        <f>""</f>
        <v/>
      </c>
      <c r="BT38" t="str">
        <f>""</f>
        <v/>
      </c>
      <c r="BU38" t="str">
        <f>""</f>
        <v/>
      </c>
      <c r="BV38" t="str">
        <f>""</f>
        <v/>
      </c>
      <c r="BW38" t="str">
        <f>""</f>
        <v/>
      </c>
      <c r="BX38" t="str">
        <f>""</f>
        <v/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  <c r="CH38" t="str">
        <f>""</f>
        <v/>
      </c>
      <c r="CI38" t="str">
        <f>""</f>
        <v/>
      </c>
      <c r="CJ38" t="str">
        <f>""</f>
        <v/>
      </c>
      <c r="CK38" t="str">
        <f>""</f>
        <v/>
      </c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>
      <c r="A39" t="str">
        <f>""</f>
        <v/>
      </c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BN39" t="str">
        <f>""</f>
        <v/>
      </c>
      <c r="BO39" t="str">
        <f>""</f>
        <v/>
      </c>
      <c r="BP39" t="str">
        <f>""</f>
        <v/>
      </c>
      <c r="BQ39" t="str">
        <f>""</f>
        <v/>
      </c>
      <c r="BR39" t="str">
        <f>""</f>
        <v/>
      </c>
      <c r="BS39" t="str">
        <f>""</f>
        <v/>
      </c>
      <c r="BT39" t="str">
        <f>""</f>
        <v/>
      </c>
      <c r="BU39" t="str">
        <f>""</f>
        <v/>
      </c>
      <c r="BV39" t="str">
        <f>""</f>
        <v/>
      </c>
      <c r="BW39" t="str">
        <f>""</f>
        <v/>
      </c>
      <c r="BX39" t="str">
        <f>""</f>
        <v/>
      </c>
      <c r="BY39" t="str">
        <f>""</f>
        <v/>
      </c>
      <c r="BZ39" t="str">
        <f>""</f>
        <v/>
      </c>
      <c r="CA39" t="str">
        <f>""</f>
        <v/>
      </c>
      <c r="CB39" t="str">
        <f>""</f>
        <v/>
      </c>
      <c r="CC39" t="str">
        <f>""</f>
        <v/>
      </c>
      <c r="CD39" t="str">
        <f>""</f>
        <v/>
      </c>
      <c r="CE39" t="str">
        <f>""</f>
        <v/>
      </c>
      <c r="CF39" t="str">
        <f>""</f>
        <v/>
      </c>
      <c r="CG39" t="str">
        <f>""</f>
        <v/>
      </c>
      <c r="CH39" t="str">
        <f>""</f>
        <v/>
      </c>
      <c r="CI39" t="str">
        <f>""</f>
        <v/>
      </c>
      <c r="CJ39" t="str">
        <f>""</f>
        <v/>
      </c>
      <c r="CK39" t="str">
        <f>""</f>
        <v/>
      </c>
      <c r="CL39" t="str">
        <f>""</f>
        <v/>
      </c>
      <c r="CM39" t="str">
        <f>""</f>
        <v/>
      </c>
      <c r="CN39" t="str">
        <f>""</f>
        <v/>
      </c>
      <c r="CO39" t="str">
        <f>""</f>
        <v/>
      </c>
      <c r="CP39" t="str">
        <f>""</f>
        <v/>
      </c>
      <c r="CQ39" t="str">
        <f>""</f>
        <v/>
      </c>
      <c r="CR39" t="str">
        <f>""</f>
        <v/>
      </c>
      <c r="CS39" t="str">
        <f>""</f>
        <v/>
      </c>
      <c r="CT39" t="str">
        <f>""</f>
        <v/>
      </c>
      <c r="CU39" t="str">
        <f>""</f>
        <v/>
      </c>
      <c r="CV39" t="str">
        <f>""</f>
        <v/>
      </c>
      <c r="CW39" t="str">
        <f>""</f>
        <v/>
      </c>
      <c r="CX39" t="str">
        <f>""</f>
        <v/>
      </c>
      <c r="CY39" t="str">
        <f>""</f>
        <v/>
      </c>
      <c r="CZ39" t="str">
        <f>""</f>
        <v/>
      </c>
      <c r="DA39" t="str">
        <f>""</f>
        <v/>
      </c>
      <c r="DB39" t="str">
        <f>""</f>
        <v/>
      </c>
      <c r="DC39" t="str">
        <f>""</f>
        <v/>
      </c>
      <c r="DD39" t="str">
        <f>""</f>
        <v/>
      </c>
      <c r="DE39" t="str">
        <f>""</f>
        <v/>
      </c>
      <c r="DF39" t="str">
        <f>""</f>
        <v/>
      </c>
      <c r="DG39" t="str">
        <f>""</f>
        <v/>
      </c>
      <c r="DH39" t="str">
        <f>""</f>
        <v/>
      </c>
      <c r="DI39" t="str">
        <f>""</f>
        <v/>
      </c>
      <c r="DJ39" t="str">
        <f>""</f>
        <v/>
      </c>
      <c r="DK39" t="str">
        <f>""</f>
        <v/>
      </c>
      <c r="DL39" t="str">
        <f>""</f>
        <v/>
      </c>
      <c r="DM39" t="str">
        <f>""</f>
        <v/>
      </c>
      <c r="DN39" t="str">
        <f>""</f>
        <v/>
      </c>
      <c r="DO39" t="str">
        <f>""</f>
        <v/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  <c r="DT39" t="str">
        <f>""</f>
        <v/>
      </c>
      <c r="DU39" t="str">
        <f>""</f>
        <v/>
      </c>
    </row>
    <row r="40" spans="1:125">
      <c r="A40" t="str">
        <f>""</f>
        <v/>
      </c>
      <c r="B40" t="str">
        <f>""</f>
        <v/>
      </c>
      <c r="C40" t="str">
        <f>""</f>
        <v/>
      </c>
      <c r="D40" t="str">
        <f>""</f>
        <v/>
      </c>
      <c r="E40" t="str">
        <f>""</f>
        <v/>
      </c>
      <c r="BN40" t="str">
        <f>""</f>
        <v/>
      </c>
      <c r="BO40" t="str">
        <f>""</f>
        <v/>
      </c>
      <c r="BP40" t="str">
        <f>""</f>
        <v/>
      </c>
      <c r="BQ40" t="str">
        <f>""</f>
        <v/>
      </c>
      <c r="BR40" t="str">
        <f>""</f>
        <v/>
      </c>
      <c r="BS40" t="str">
        <f>""</f>
        <v/>
      </c>
      <c r="BT40" t="str">
        <f>""</f>
        <v/>
      </c>
      <c r="BU40" t="str">
        <f>""</f>
        <v/>
      </c>
      <c r="BV40" t="str">
        <f>""</f>
        <v/>
      </c>
      <c r="BW40" t="str">
        <f>""</f>
        <v/>
      </c>
      <c r="BX40" t="str">
        <f>""</f>
        <v/>
      </c>
      <c r="BY40" t="str">
        <f>""</f>
        <v/>
      </c>
      <c r="BZ40" t="str">
        <f>""</f>
        <v/>
      </c>
      <c r="CA40" t="str">
        <f>""</f>
        <v/>
      </c>
      <c r="CB40" t="str">
        <f>""</f>
        <v/>
      </c>
      <c r="CC40" t="str">
        <f>""</f>
        <v/>
      </c>
      <c r="CD40" t="str">
        <f>""</f>
        <v/>
      </c>
      <c r="CE40" t="str">
        <f>""</f>
        <v/>
      </c>
      <c r="CF40" t="str">
        <f>""</f>
        <v/>
      </c>
      <c r="CG40" t="str">
        <f>""</f>
        <v/>
      </c>
      <c r="CH40" t="str">
        <f>""</f>
        <v/>
      </c>
      <c r="CI40" t="str">
        <f>""</f>
        <v/>
      </c>
      <c r="CJ40" t="str">
        <f>""</f>
        <v/>
      </c>
      <c r="CK40" t="str">
        <f>""</f>
        <v/>
      </c>
      <c r="CL40" t="str">
        <f>""</f>
        <v/>
      </c>
      <c r="CM40" t="str">
        <f>""</f>
        <v/>
      </c>
      <c r="CN40" t="str">
        <f>""</f>
        <v/>
      </c>
      <c r="CO40" t="str">
        <f>""</f>
        <v/>
      </c>
      <c r="CP40" t="str">
        <f>""</f>
        <v/>
      </c>
      <c r="CQ40" t="str">
        <f>""</f>
        <v/>
      </c>
      <c r="CR40" t="str">
        <f>""</f>
        <v/>
      </c>
      <c r="CS40" t="str">
        <f>""</f>
        <v/>
      </c>
      <c r="CT40" t="str">
        <f>""</f>
        <v/>
      </c>
      <c r="CU40" t="str">
        <f>""</f>
        <v/>
      </c>
      <c r="CV40" t="str">
        <f>""</f>
        <v/>
      </c>
      <c r="CW40" t="str">
        <f>""</f>
        <v/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</row>
    <row r="41" spans="1:125">
      <c r="A41" t="str">
        <f>""</f>
        <v/>
      </c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BN41" t="str">
        <f>""</f>
        <v/>
      </c>
      <c r="BO41" t="str">
        <f>""</f>
        <v/>
      </c>
      <c r="BP41" t="str">
        <f>""</f>
        <v/>
      </c>
      <c r="BQ41" t="str">
        <f>""</f>
        <v/>
      </c>
      <c r="BR41" t="str">
        <f>""</f>
        <v/>
      </c>
      <c r="BS41" t="str">
        <f>""</f>
        <v/>
      </c>
      <c r="BT41" t="str">
        <f>""</f>
        <v/>
      </c>
      <c r="BU41" t="str">
        <f>""</f>
        <v/>
      </c>
      <c r="BV41" t="str">
        <f>""</f>
        <v/>
      </c>
      <c r="BW41" t="str">
        <f>""</f>
        <v/>
      </c>
      <c r="BX41" t="str">
        <f>""</f>
        <v/>
      </c>
      <c r="BY41" t="str">
        <f>""</f>
        <v/>
      </c>
      <c r="BZ41" t="str">
        <f>""</f>
        <v/>
      </c>
      <c r="CA41" t="str">
        <f>""</f>
        <v/>
      </c>
      <c r="CB41" t="str">
        <f>""</f>
        <v/>
      </c>
      <c r="CC41" t="str">
        <f>""</f>
        <v/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  <c r="CH41" t="str">
        <f>""</f>
        <v/>
      </c>
      <c r="CI41" t="str">
        <f>""</f>
        <v/>
      </c>
      <c r="CJ41" t="str">
        <f>""</f>
        <v/>
      </c>
      <c r="CK41" t="str">
        <f>""</f>
        <v/>
      </c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</row>
    <row r="42" spans="1:125">
      <c r="A42" t="str">
        <f>""</f>
        <v/>
      </c>
      <c r="B42" t="str">
        <f>""</f>
        <v/>
      </c>
      <c r="C42" t="str">
        <f>""</f>
        <v/>
      </c>
      <c r="D42" t="str">
        <f>""</f>
        <v/>
      </c>
      <c r="E42" t="str">
        <f>""</f>
        <v/>
      </c>
      <c r="BN42" t="str">
        <f>""</f>
        <v/>
      </c>
      <c r="BO42" t="str">
        <f>""</f>
        <v/>
      </c>
      <c r="BP42" t="str">
        <f>""</f>
        <v/>
      </c>
      <c r="BQ42" t="str">
        <f>""</f>
        <v/>
      </c>
      <c r="BR42" t="str">
        <f>""</f>
        <v/>
      </c>
      <c r="BS42" t="str">
        <f>""</f>
        <v/>
      </c>
      <c r="BT42" t="str">
        <f>""</f>
        <v/>
      </c>
      <c r="BU42" t="str">
        <f>""</f>
        <v/>
      </c>
      <c r="BV42" t="str">
        <f>""</f>
        <v/>
      </c>
      <c r="BW42" t="str">
        <f>""</f>
        <v/>
      </c>
      <c r="BX42" t="str">
        <f>""</f>
        <v/>
      </c>
      <c r="BY42" t="str">
        <f>""</f>
        <v/>
      </c>
      <c r="BZ42" t="str">
        <f>""</f>
        <v/>
      </c>
      <c r="CA42" t="str">
        <f>""</f>
        <v/>
      </c>
      <c r="CB42" t="str">
        <f>""</f>
        <v/>
      </c>
      <c r="CC42" t="str">
        <f>""</f>
        <v/>
      </c>
      <c r="CD42" t="str">
        <f>""</f>
        <v/>
      </c>
      <c r="CE42" t="str">
        <f>""</f>
        <v/>
      </c>
      <c r="CF42" t="str">
        <f>""</f>
        <v/>
      </c>
      <c r="CG42" t="str">
        <f>""</f>
        <v/>
      </c>
      <c r="CH42" t="str">
        <f>""</f>
        <v/>
      </c>
      <c r="CI42" t="str">
        <f>""</f>
        <v/>
      </c>
      <c r="CJ42" t="str">
        <f>""</f>
        <v/>
      </c>
      <c r="CK42" t="str">
        <f>""</f>
        <v/>
      </c>
      <c r="CL42" t="str">
        <f>""</f>
        <v/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</row>
    <row r="43" spans="1:125">
      <c r="A43" t="str">
        <f>"~~~~~~~~~~~~~~~~~~~~~"</f>
        <v>~~~~~~~~~~~~~~~~~~~~~</v>
      </c>
      <c r="B43" t="str">
        <f>"~~~~~~~~~~~~~~~~~~~~~"</f>
        <v>~~~~~~~~~~~~~~~~~~~~~</v>
      </c>
      <c r="C43" t="str">
        <f>"~~~~~~~~~~~~~~~~~~~~~"</f>
        <v>~~~~~~~~~~~~~~~~~~~~~</v>
      </c>
      <c r="D43" t="str">
        <f>"~~~~~~~~~~~~~~~~~~~~~"</f>
        <v>~~~~~~~~~~~~~~~~~~~~~</v>
      </c>
      <c r="E43" t="str">
        <f>"~~~~~~~~~~~~~~~~~~~~~"</f>
        <v>~~~~~~~~~~~~~~~~~~~~~</v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>
      <c r="A44" t="str">
        <f>"Rows below for column date calculation"</f>
        <v>Rows below for column date calculation</v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  <c r="CH44" t="str">
        <f>""</f>
        <v/>
      </c>
      <c r="CI44" t="str">
        <f>""</f>
        <v/>
      </c>
      <c r="CJ44" t="str">
        <f>""</f>
        <v/>
      </c>
      <c r="CK44" t="str">
        <f>""</f>
        <v/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>
      <c r="A45" t="str">
        <f>"Downloaded at"</f>
        <v>Downloaded at</v>
      </c>
      <c r="B45">
        <f>DATE(2018, 3,13)</f>
        <v>43172</v>
      </c>
      <c r="C45" t="str">
        <f>""</f>
        <v/>
      </c>
      <c r="D45" t="str">
        <f>""</f>
        <v/>
      </c>
      <c r="E45" t="str">
        <f>""</f>
        <v/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  <c r="CI45" t="str">
        <f>""</f>
        <v/>
      </c>
      <c r="CJ45" t="str">
        <f>""</f>
        <v/>
      </c>
      <c r="CK45" t="str">
        <f>""</f>
        <v/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>
      <c r="A46" t="str">
        <f>"This is End Date"</f>
        <v>This is End Date</v>
      </c>
      <c r="B46">
        <f ca="1">$B$27</f>
        <v>43173</v>
      </c>
      <c r="C46" t="str">
        <f>""</f>
        <v/>
      </c>
      <c r="D46" t="str">
        <f>""</f>
        <v/>
      </c>
      <c r="E46" t="str">
        <f>""</f>
        <v/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  <c r="BT46" t="str">
        <f>""</f>
        <v/>
      </c>
      <c r="BU46" t="str">
        <f>""</f>
        <v/>
      </c>
      <c r="BV46" t="str">
        <f>""</f>
        <v/>
      </c>
      <c r="BW46" t="str">
        <f>""</f>
        <v/>
      </c>
      <c r="BX46" t="str">
        <f>""</f>
        <v/>
      </c>
      <c r="BY46" t="str">
        <f>""</f>
        <v/>
      </c>
      <c r="BZ46" t="str">
        <f>""</f>
        <v/>
      </c>
      <c r="CA46" t="str">
        <f>""</f>
        <v/>
      </c>
      <c r="CB46" t="str">
        <f>""</f>
        <v/>
      </c>
      <c r="CC46" t="str">
        <f>""</f>
        <v/>
      </c>
      <c r="CD46" t="str">
        <f>""</f>
        <v/>
      </c>
      <c r="CE46" t="str">
        <f>""</f>
        <v/>
      </c>
      <c r="CF46" t="str">
        <f>""</f>
        <v/>
      </c>
      <c r="CG46" t="str">
        <f>""</f>
        <v/>
      </c>
      <c r="CH46" t="str">
        <f>""</f>
        <v/>
      </c>
      <c r="CI46" t="str">
        <f>""</f>
        <v/>
      </c>
      <c r="CJ46" t="str">
        <f>""</f>
        <v/>
      </c>
      <c r="CK46" t="str">
        <f>""</f>
        <v/>
      </c>
      <c r="CL46" t="str">
        <f>""</f>
        <v/>
      </c>
      <c r="CM46" t="str">
        <f>""</f>
        <v/>
      </c>
      <c r="CN46" t="str">
        <f>""</f>
        <v/>
      </c>
      <c r="CO46" t="str">
        <f>""</f>
        <v/>
      </c>
      <c r="CP46" t="str">
        <f>""</f>
        <v/>
      </c>
      <c r="CQ46" t="str">
        <f>""</f>
        <v/>
      </c>
      <c r="CR46" t="str">
        <f>""</f>
        <v/>
      </c>
      <c r="CS46" t="str">
        <f>""</f>
        <v/>
      </c>
      <c r="CT46" t="str">
        <f>""</f>
        <v/>
      </c>
      <c r="CU46" t="str">
        <f>""</f>
        <v/>
      </c>
      <c r="CV46" t="str">
        <f>""</f>
        <v/>
      </c>
      <c r="CW46" t="str">
        <f>""</f>
        <v/>
      </c>
      <c r="CX46" t="str">
        <f>""</f>
        <v/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 t="str">
        <f>""</f>
        <v/>
      </c>
      <c r="DM46" t="str">
        <f>""</f>
        <v/>
      </c>
      <c r="DN46" t="str">
        <f>""</f>
        <v/>
      </c>
      <c r="DO46" t="str">
        <f>""</f>
        <v/>
      </c>
      <c r="DP46" t="str">
        <f>""</f>
        <v/>
      </c>
      <c r="DQ46" t="str">
        <f>""</f>
        <v/>
      </c>
      <c r="DR46" t="str">
        <f>""</f>
        <v/>
      </c>
      <c r="DS46" t="str">
        <f>""</f>
        <v/>
      </c>
      <c r="DT46" t="str">
        <f>""</f>
        <v/>
      </c>
      <c r="DU46" t="str">
        <f>""</f>
        <v/>
      </c>
    </row>
    <row r="47" spans="1:125">
      <c r="A47" t="str">
        <f>"简述"</f>
        <v>简述</v>
      </c>
      <c r="B47" t="str">
        <f>"代码"</f>
        <v>代码</v>
      </c>
      <c r="C47" t="str">
        <f>"栏目ID"</f>
        <v>栏目ID</v>
      </c>
      <c r="D47" t="str">
        <f>"栏目助记符"</f>
        <v>栏目助记符</v>
      </c>
      <c r="E47" t="str">
        <f>"数据状态"</f>
        <v>数据状态</v>
      </c>
      <c r="BN47" t="str">
        <f>""</f>
        <v/>
      </c>
      <c r="BO47" t="str">
        <f>""</f>
        <v/>
      </c>
      <c r="BP47" t="str">
        <f>""</f>
        <v/>
      </c>
      <c r="BQ47" t="str">
        <f>""</f>
        <v/>
      </c>
      <c r="BR47" t="str">
        <f>""</f>
        <v/>
      </c>
      <c r="BS47" t="str">
        <f>""</f>
        <v/>
      </c>
      <c r="BT47" t="str">
        <f>""</f>
        <v/>
      </c>
      <c r="BU47" t="str">
        <f>""</f>
        <v/>
      </c>
      <c r="BV47" t="str">
        <f>""</f>
        <v/>
      </c>
      <c r="BW47" t="str">
        <f>""</f>
        <v/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  <c r="CH47" t="str">
        <f>""</f>
        <v/>
      </c>
      <c r="CI47" t="str">
        <f>""</f>
        <v/>
      </c>
      <c r="CJ47" t="str">
        <f>""</f>
        <v/>
      </c>
      <c r="CK47" t="str">
        <f>""</f>
        <v/>
      </c>
      <c r="CL47" t="str">
        <f>""</f>
        <v/>
      </c>
      <c r="CM47" t="str">
        <f>""</f>
        <v/>
      </c>
      <c r="CN47" t="str">
        <f>""</f>
        <v/>
      </c>
      <c r="CO47" t="str">
        <f>""</f>
        <v/>
      </c>
      <c r="CP47" t="str">
        <f>""</f>
        <v/>
      </c>
      <c r="CQ47" t="str">
        <f>""</f>
        <v/>
      </c>
      <c r="CR47" t="str">
        <f>""</f>
        <v/>
      </c>
      <c r="CS47" t="str">
        <f>""</f>
        <v/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</row>
    <row r="48" spans="1:125">
      <c r="A48" t="str">
        <f>"Snapshot Date"</f>
        <v>Snapshot Date</v>
      </c>
      <c r="B48">
        <f>DATE(2018, 3,13)</f>
        <v>43172</v>
      </c>
      <c r="C48" t="str">
        <f>""</f>
        <v/>
      </c>
      <c r="D48" t="str">
        <f>""</f>
        <v/>
      </c>
      <c r="E48" t="str">
        <f>""</f>
        <v/>
      </c>
      <c r="BN48" t="str">
        <f>""</f>
        <v/>
      </c>
      <c r="BO48" t="str">
        <f>""</f>
        <v/>
      </c>
      <c r="BP48" t="str">
        <f>""</f>
        <v/>
      </c>
      <c r="BQ48" t="str">
        <f>""</f>
        <v/>
      </c>
      <c r="BR48" t="str">
        <f>""</f>
        <v/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 t="str">
        <f>""</f>
        <v/>
      </c>
      <c r="CC48" t="str">
        <f>""</f>
        <v/>
      </c>
      <c r="CD48" t="str">
        <f>""</f>
        <v/>
      </c>
      <c r="CE48" t="str">
        <f>""</f>
        <v/>
      </c>
      <c r="CF48" t="str">
        <f>""</f>
        <v/>
      </c>
      <c r="CG48" t="str">
        <f>""</f>
        <v/>
      </c>
      <c r="CH48" t="str">
        <f>""</f>
        <v/>
      </c>
      <c r="CI48" t="str">
        <f>""</f>
        <v/>
      </c>
      <c r="CJ48" t="str">
        <f>""</f>
        <v/>
      </c>
      <c r="CK48" t="str">
        <f>""</f>
        <v/>
      </c>
      <c r="CL48" t="str">
        <f>""</f>
        <v/>
      </c>
      <c r="CM48" t="str">
        <f>""</f>
        <v/>
      </c>
      <c r="CN48" t="str">
        <f>""</f>
        <v/>
      </c>
      <c r="CO48" t="str">
        <f>""</f>
        <v/>
      </c>
      <c r="CP48" t="str">
        <f>""</f>
        <v/>
      </c>
      <c r="CQ48" t="str">
        <f>""</f>
        <v/>
      </c>
      <c r="CR48" t="str">
        <f>""</f>
        <v/>
      </c>
      <c r="CS48" t="str">
        <f>""</f>
        <v/>
      </c>
      <c r="CT48" t="str">
        <f>""</f>
        <v/>
      </c>
      <c r="CU48" t="str">
        <f>""</f>
        <v/>
      </c>
      <c r="CV48" t="str">
        <f>""</f>
        <v/>
      </c>
      <c r="CW48" t="str">
        <f>""</f>
        <v/>
      </c>
      <c r="CX48" t="str">
        <f>""</f>
        <v/>
      </c>
      <c r="CY48" t="str">
        <f>""</f>
        <v/>
      </c>
      <c r="CZ48" t="str">
        <f>""</f>
        <v/>
      </c>
      <c r="DA48" t="str">
        <f>""</f>
        <v/>
      </c>
      <c r="DB48" t="str">
        <f>""</f>
        <v/>
      </c>
      <c r="DC48" t="str">
        <f>""</f>
        <v/>
      </c>
      <c r="DD48" t="str">
        <f>""</f>
        <v/>
      </c>
      <c r="DE48" t="str">
        <f>""</f>
        <v/>
      </c>
      <c r="DF48" t="str">
        <f>""</f>
        <v/>
      </c>
      <c r="DG48" t="str">
        <f>""</f>
        <v/>
      </c>
      <c r="DH48" t="str">
        <f>""</f>
        <v/>
      </c>
      <c r="DI48" t="str">
        <f>""</f>
        <v/>
      </c>
      <c r="DJ48" t="str">
        <f>""</f>
        <v/>
      </c>
      <c r="DK48" t="str">
        <f>""</f>
        <v/>
      </c>
      <c r="DL48" t="str">
        <f>""</f>
        <v/>
      </c>
      <c r="DM48" t="str">
        <f>""</f>
        <v/>
      </c>
      <c r="DN48" t="str">
        <f>""</f>
        <v/>
      </c>
      <c r="DO48" t="str">
        <f>""</f>
        <v/>
      </c>
      <c r="DP48" t="str">
        <f>""</f>
        <v/>
      </c>
      <c r="DQ48" t="str">
        <f>""</f>
        <v/>
      </c>
      <c r="DR48" t="str">
        <f>""</f>
        <v/>
      </c>
      <c r="DS48" t="str">
        <f>""</f>
        <v/>
      </c>
      <c r="DT48" t="str">
        <f>""</f>
        <v/>
      </c>
      <c r="DU48" t="str">
        <f>""</f>
        <v/>
      </c>
    </row>
    <row r="49" spans="1:125">
      <c r="A49" t="str">
        <f>"Snapshot header"</f>
        <v>Snapshot header</v>
      </c>
      <c r="B49">
        <f>2</f>
        <v>2</v>
      </c>
      <c r="C49" t="str">
        <f>"2017 Q4"</f>
        <v>2017 Q4</v>
      </c>
      <c r="D49" t="str">
        <f>"2017 Q3"</f>
        <v>2017 Q3</v>
      </c>
      <c r="E49" t="str">
        <f>"2017 Q2"</f>
        <v>2017 Q2</v>
      </c>
      <c r="F49" t="str">
        <f>"2017 Q1"</f>
        <v>2017 Q1</v>
      </c>
      <c r="G49" t="str">
        <f>"2016 Q4"</f>
        <v>2016 Q4</v>
      </c>
      <c r="H49" t="str">
        <f>"2016 Q3"</f>
        <v>2016 Q3</v>
      </c>
      <c r="I49" t="str">
        <f>"2016 Q2"</f>
        <v>2016 Q2</v>
      </c>
      <c r="J49" t="str">
        <f>"2016 Q1"</f>
        <v>2016 Q1</v>
      </c>
      <c r="K49" t="str">
        <f>"2015 Q4"</f>
        <v>2015 Q4</v>
      </c>
      <c r="L49" t="str">
        <f>"2015 Q3"</f>
        <v>2015 Q3</v>
      </c>
      <c r="M49" t="str">
        <f>"2015 Q2"</f>
        <v>2015 Q2</v>
      </c>
      <c r="N49" t="str">
        <f>"2015 Q1"</f>
        <v>2015 Q1</v>
      </c>
      <c r="O49" t="str">
        <f>"2014 Q4"</f>
        <v>2014 Q4</v>
      </c>
      <c r="P49" t="str">
        <f>"2014 Q3"</f>
        <v>2014 Q3</v>
      </c>
      <c r="Q49" t="str">
        <f>"2014 Q2"</f>
        <v>2014 Q2</v>
      </c>
      <c r="R49" t="str">
        <f>"2014 Q1"</f>
        <v>2014 Q1</v>
      </c>
      <c r="S49" t="str">
        <f>"2013 Q4"</f>
        <v>2013 Q4</v>
      </c>
      <c r="T49" t="str">
        <f>"2013 Q3"</f>
        <v>2013 Q3</v>
      </c>
      <c r="U49" t="str">
        <f>"2013 Q2"</f>
        <v>2013 Q2</v>
      </c>
      <c r="V49" t="str">
        <f>"2013 Q1"</f>
        <v>2013 Q1</v>
      </c>
      <c r="W49" t="str">
        <f>"2012 Q4"</f>
        <v>2012 Q4</v>
      </c>
      <c r="X49" t="str">
        <f>"2012 Q3"</f>
        <v>2012 Q3</v>
      </c>
      <c r="Y49" t="str">
        <f>"2012 Q2"</f>
        <v>2012 Q2</v>
      </c>
      <c r="Z49" t="str">
        <f>"2012 Q1"</f>
        <v>2012 Q1</v>
      </c>
      <c r="AA49" t="str">
        <f>"2011 Q4"</f>
        <v>2011 Q4</v>
      </c>
      <c r="AB49" t="str">
        <f>"2011 Q3"</f>
        <v>2011 Q3</v>
      </c>
      <c r="AC49" t="str">
        <f>"2011 Q2"</f>
        <v>2011 Q2</v>
      </c>
      <c r="AD49" t="str">
        <f>"2011 Q1"</f>
        <v>2011 Q1</v>
      </c>
      <c r="AE49" t="str">
        <f>"2010 Q4"</f>
        <v>2010 Q4</v>
      </c>
      <c r="AF49" t="str">
        <f>"2010 Q3"</f>
        <v>2010 Q3</v>
      </c>
      <c r="AG49" t="str">
        <f>"2010 Q2"</f>
        <v>2010 Q2</v>
      </c>
      <c r="AH49" t="str">
        <f>"2010 Q1"</f>
        <v>2010 Q1</v>
      </c>
      <c r="AI49" t="str">
        <f>"2009 Q4"</f>
        <v>2009 Q4</v>
      </c>
      <c r="AJ49" t="str">
        <f>"2009 Q3"</f>
        <v>2009 Q3</v>
      </c>
      <c r="AK49" t="str">
        <f>"2009 Q2"</f>
        <v>2009 Q2</v>
      </c>
      <c r="AL49" t="str">
        <f>"2009 Q1"</f>
        <v>2009 Q1</v>
      </c>
      <c r="AM49" t="str">
        <f>"2008 Q4"</f>
        <v>2008 Q4</v>
      </c>
      <c r="AN49" t="str">
        <f>"2008 Q3"</f>
        <v>2008 Q3</v>
      </c>
      <c r="AO49" t="str">
        <f>"2008 Q2"</f>
        <v>2008 Q2</v>
      </c>
      <c r="AP49" t="str">
        <f>"2008 Q1"</f>
        <v>2008 Q1</v>
      </c>
      <c r="AQ49" t="str">
        <f>"2007 Q4"</f>
        <v>2007 Q4</v>
      </c>
      <c r="AR49" t="str">
        <f>"2007 Q3"</f>
        <v>2007 Q3</v>
      </c>
      <c r="AS49" t="str">
        <f>"2007 Q2"</f>
        <v>2007 Q2</v>
      </c>
      <c r="AT49" t="str">
        <f>"2007 Q1"</f>
        <v>2007 Q1</v>
      </c>
      <c r="AU49" t="str">
        <f>"2006 Q4"</f>
        <v>2006 Q4</v>
      </c>
      <c r="AV49" t="str">
        <f>"2006 Q3"</f>
        <v>2006 Q3</v>
      </c>
      <c r="AW49" t="str">
        <f>"2006 Q2"</f>
        <v>2006 Q2</v>
      </c>
      <c r="AX49" t="str">
        <f>"2006 Q1"</f>
        <v>2006 Q1</v>
      </c>
      <c r="AY49" t="str">
        <f>"2005 Q4"</f>
        <v>2005 Q4</v>
      </c>
      <c r="AZ49" t="str">
        <f>"2005 Q3"</f>
        <v>2005 Q3</v>
      </c>
      <c r="BA49" t="str">
        <f>"2005 Q2"</f>
        <v>2005 Q2</v>
      </c>
      <c r="BB49" t="str">
        <f>"2005 Q1"</f>
        <v>2005 Q1</v>
      </c>
      <c r="BC49" t="str">
        <f>"2004 Q4"</f>
        <v>2004 Q4</v>
      </c>
      <c r="BD49" t="str">
        <f>"2004 Q3"</f>
        <v>2004 Q3</v>
      </c>
      <c r="BE49" t="str">
        <f>"2004 Q2"</f>
        <v>2004 Q2</v>
      </c>
      <c r="BF49" t="str">
        <f>"2004 Q1"</f>
        <v>2004 Q1</v>
      </c>
      <c r="BG49" t="str">
        <f>"2003 Q4"</f>
        <v>2003 Q4</v>
      </c>
      <c r="BH49" t="str">
        <f>"2003 Q3"</f>
        <v>2003 Q3</v>
      </c>
      <c r="BI49" t="str">
        <f>"2003 Q2"</f>
        <v>2003 Q2</v>
      </c>
      <c r="BJ49" t="str">
        <f>"2003 Q1"</f>
        <v>2003 Q1</v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  <c r="CH49" t="str">
        <f>""</f>
        <v/>
      </c>
      <c r="CI49" t="str">
        <f>""</f>
        <v/>
      </c>
      <c r="CJ49" t="str">
        <f>""</f>
        <v/>
      </c>
      <c r="CK49" t="str">
        <f>""</f>
        <v/>
      </c>
      <c r="CL49" t="str">
        <f>""</f>
        <v/>
      </c>
      <c r="CM49" t="str">
        <f>""</f>
        <v/>
      </c>
      <c r="CN49" t="str">
        <f>""</f>
        <v/>
      </c>
      <c r="CO49" t="str">
        <f>""</f>
        <v/>
      </c>
      <c r="CP49" t="str">
        <f>""</f>
        <v/>
      </c>
      <c r="CQ49" t="str">
        <f>""</f>
        <v/>
      </c>
      <c r="CR49" t="str">
        <f>""</f>
        <v/>
      </c>
      <c r="CS49" t="str">
        <f>""</f>
        <v/>
      </c>
      <c r="CT49" t="str">
        <f>""</f>
        <v/>
      </c>
      <c r="CU49" t="str">
        <f>""</f>
        <v/>
      </c>
      <c r="CV49" t="str">
        <f>""</f>
        <v/>
      </c>
      <c r="CW49" t="str">
        <f>""</f>
        <v/>
      </c>
      <c r="CX49" t="str">
        <f>""</f>
        <v/>
      </c>
      <c r="CY49" t="str">
        <f>""</f>
        <v/>
      </c>
      <c r="CZ49" t="str">
        <f>""</f>
        <v/>
      </c>
      <c r="DA49" t="str">
        <f>""</f>
        <v/>
      </c>
      <c r="DB49" t="str">
        <f>""</f>
        <v/>
      </c>
      <c r="DC49" t="str">
        <f>""</f>
        <v/>
      </c>
      <c r="DD49" t="str">
        <f>""</f>
        <v/>
      </c>
      <c r="DE49" t="str">
        <f>""</f>
        <v/>
      </c>
      <c r="DF49" t="str">
        <f>""</f>
        <v/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  <c r="DT49" t="str">
        <f>""</f>
        <v/>
      </c>
      <c r="DU49" t="str">
        <f>""</f>
        <v/>
      </c>
    </row>
    <row r="50" spans="1:125">
      <c r="A50" t="str">
        <f>"BDH snapshot header0"</f>
        <v>BDH snapshot header0</v>
      </c>
      <c r="B50">
        <f>IF(OR(ISERROR($C$50),ISBLANK($C$50),ISNUMBER(SEARCH("N/A",$C$50) ),ISERROR($C$51),ISBLANK($C$51)),0,1)</f>
        <v>0</v>
      </c>
      <c r="C50" t="str">
        <f>BDH($B$30,$C$30,$B$26,$B$48,"PER=CQ","Dts=S","DtFmt=FI", "rows=2","Dir=H","Points=60","Sort=R","Days=A","Fill=B","FX=USD" )</f>
        <v>#N/A Requesting Data...</v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  <c r="CH50" t="str">
        <f>""</f>
        <v/>
      </c>
      <c r="CI50" t="str">
        <f>""</f>
        <v/>
      </c>
      <c r="CJ50" t="str">
        <f>""</f>
        <v/>
      </c>
      <c r="CK50" t="str">
        <f>""</f>
        <v/>
      </c>
      <c r="CL50" t="str">
        <f>""</f>
        <v/>
      </c>
      <c r="CM50" t="str">
        <f>""</f>
        <v/>
      </c>
      <c r="CN50" t="str">
        <f>""</f>
        <v/>
      </c>
      <c r="CO50" t="str">
        <f>""</f>
        <v/>
      </c>
      <c r="CP50" t="str">
        <f>""</f>
        <v/>
      </c>
      <c r="CQ50" t="str">
        <f>""</f>
        <v/>
      </c>
      <c r="CR50" t="str">
        <f>""</f>
        <v/>
      </c>
      <c r="CS50" t="str">
        <f>""</f>
        <v/>
      </c>
      <c r="CT50" t="str">
        <f>""</f>
        <v/>
      </c>
      <c r="CU50" t="str">
        <f>""</f>
        <v/>
      </c>
      <c r="CV50" t="str">
        <f>""</f>
        <v/>
      </c>
      <c r="CW50" t="str">
        <f>""</f>
        <v/>
      </c>
      <c r="CX50" t="str">
        <f>""</f>
        <v/>
      </c>
      <c r="CY50" t="str">
        <f>""</f>
        <v/>
      </c>
      <c r="CZ50" t="str">
        <f>""</f>
        <v/>
      </c>
      <c r="DA50" t="str">
        <f>""</f>
        <v/>
      </c>
      <c r="DB50" t="str">
        <f>""</f>
        <v/>
      </c>
      <c r="DC50" t="str">
        <f>""</f>
        <v/>
      </c>
      <c r="DD50" t="str">
        <f>""</f>
        <v/>
      </c>
      <c r="DE50" t="str">
        <f>""</f>
        <v/>
      </c>
      <c r="DF50" t="str">
        <f>""</f>
        <v/>
      </c>
      <c r="DG50" t="str">
        <f>""</f>
        <v/>
      </c>
      <c r="DH50" t="str">
        <f>""</f>
        <v/>
      </c>
      <c r="DI50" t="str">
        <f>""</f>
        <v/>
      </c>
      <c r="DJ50" t="str">
        <f>""</f>
        <v/>
      </c>
      <c r="DK50" t="str">
        <f>""</f>
        <v/>
      </c>
      <c r="DL50" t="str">
        <f>""</f>
        <v/>
      </c>
      <c r="DM50" t="str">
        <f>""</f>
        <v/>
      </c>
      <c r="DN50" t="str">
        <f>""</f>
        <v/>
      </c>
      <c r="DO50" t="str">
        <f>""</f>
        <v/>
      </c>
      <c r="DP50" t="str">
        <f>""</f>
        <v/>
      </c>
      <c r="DQ50" t="str">
        <f>""</f>
        <v/>
      </c>
      <c r="DR50" t="str">
        <f>""</f>
        <v/>
      </c>
      <c r="DS50" t="str">
        <f>""</f>
        <v/>
      </c>
      <c r="DT50" t="str">
        <f>""</f>
        <v/>
      </c>
      <c r="DU50" t="str">
        <f>""</f>
        <v/>
      </c>
    </row>
    <row r="51" spans="1:125">
      <c r="A51" t="str">
        <f>"BDH snapshot result0"</f>
        <v>BDH snapshot result0</v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</row>
    <row r="52" spans="1:125">
      <c r="A52" t="str">
        <f>"BDH snapshot header1"</f>
        <v>BDH snapshot header1</v>
      </c>
      <c r="B52">
        <f>IF(OR(ISERROR($C$52),ISBLANK($C$52),ISNUMBER(SEARCH("N/A",$C$52) ),ISERROR($C$53),ISBLANK($C$53)),0,1)</f>
        <v>0</v>
      </c>
      <c r="C52" t="str">
        <f>BDH($B$31,$C$31,$B$26,$B$48,"PER=CQ","Dts=S","DtFmt=FI", "rows=2","Dir=H","Points=60","Sort=R","Days=A","Fill=B","FX=USD" )</f>
        <v>#N/A Requesting Data...</v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  <c r="CH52" t="str">
        <f>""</f>
        <v/>
      </c>
      <c r="CI52" t="str">
        <f>""</f>
        <v/>
      </c>
      <c r="CJ52" t="str">
        <f>""</f>
        <v/>
      </c>
      <c r="CK52" t="str">
        <f>""</f>
        <v/>
      </c>
      <c r="CL52" t="str">
        <f>""</f>
        <v/>
      </c>
      <c r="CM52" t="str">
        <f>""</f>
        <v/>
      </c>
      <c r="CN52" t="str">
        <f>""</f>
        <v/>
      </c>
      <c r="CO52" t="str">
        <f>""</f>
        <v/>
      </c>
      <c r="CP52" t="str">
        <f>""</f>
        <v/>
      </c>
      <c r="CQ52" t="str">
        <f>""</f>
        <v/>
      </c>
      <c r="CR52" t="str">
        <f>""</f>
        <v/>
      </c>
      <c r="CS52" t="str">
        <f>""</f>
        <v/>
      </c>
      <c r="CT52" t="str">
        <f>""</f>
        <v/>
      </c>
      <c r="CU52" t="str">
        <f>""</f>
        <v/>
      </c>
      <c r="CV52" t="str">
        <f>""</f>
        <v/>
      </c>
      <c r="CW52" t="str">
        <f>""</f>
        <v/>
      </c>
      <c r="CX52" t="str">
        <f>""</f>
        <v/>
      </c>
      <c r="CY52" t="str">
        <f>""</f>
        <v/>
      </c>
      <c r="CZ52" t="str">
        <f>""</f>
        <v/>
      </c>
      <c r="DA52" t="str">
        <f>""</f>
        <v/>
      </c>
      <c r="DB52" t="str">
        <f>""</f>
        <v/>
      </c>
      <c r="DC52" t="str">
        <f>""</f>
        <v/>
      </c>
      <c r="DD52" t="str">
        <f>""</f>
        <v/>
      </c>
      <c r="DE52" t="str">
        <f>""</f>
        <v/>
      </c>
      <c r="DF52" t="str">
        <f>""</f>
        <v/>
      </c>
      <c r="DG52" t="str">
        <f>""</f>
        <v/>
      </c>
      <c r="DH52" t="str">
        <f>""</f>
        <v/>
      </c>
      <c r="DI52" t="str">
        <f>""</f>
        <v/>
      </c>
      <c r="DJ52" t="str">
        <f>""</f>
        <v/>
      </c>
      <c r="DK52" t="str">
        <f>""</f>
        <v/>
      </c>
      <c r="DL52" t="str">
        <f>""</f>
        <v/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</row>
    <row r="53" spans="1:125">
      <c r="A53" t="str">
        <f>"BDH snapshot result1"</f>
        <v>BDH snapshot result1</v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  <c r="CH53" t="str">
        <f>""</f>
        <v/>
      </c>
      <c r="CI53" t="str">
        <f>""</f>
        <v/>
      </c>
      <c r="CJ53" t="str">
        <f>""</f>
        <v/>
      </c>
      <c r="CK53" t="str">
        <f>""</f>
        <v/>
      </c>
      <c r="CL53" t="str">
        <f>""</f>
        <v/>
      </c>
      <c r="CM53" t="str">
        <f>""</f>
        <v/>
      </c>
      <c r="CN53" t="str">
        <f>""</f>
        <v/>
      </c>
      <c r="CO53" t="str">
        <f>""</f>
        <v/>
      </c>
      <c r="CP53" t="str">
        <f>""</f>
        <v/>
      </c>
      <c r="CQ53" t="str">
        <f>""</f>
        <v/>
      </c>
      <c r="CR53" t="str">
        <f>""</f>
        <v/>
      </c>
      <c r="CS53" t="str">
        <f>""</f>
        <v/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>
      <c r="A54" t="str">
        <f>"BDH snapshot header2"</f>
        <v>BDH snapshot header2</v>
      </c>
      <c r="B54">
        <f>IF(OR(ISERROR($C$54),ISBLANK($C$54),ISNUMBER(SEARCH("N/A",$C$54) ),ISERROR($C$55),ISBLANK($C$55)),0,1)</f>
        <v>0</v>
      </c>
      <c r="C54" t="str">
        <f>BDH($B$32,$C$32,$B$26,$B$48,"PER=CQ","Dts=S","DtFmt=FI", "rows=2","Dir=H","Points=60","Sort=R","Days=A","Fill=B","FX=USD" )</f>
        <v>#N/A Requesting Data...</v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  <c r="CH54" t="str">
        <f>""</f>
        <v/>
      </c>
      <c r="CI54" t="str">
        <f>""</f>
        <v/>
      </c>
      <c r="CJ54" t="str">
        <f>""</f>
        <v/>
      </c>
      <c r="CK54" t="str">
        <f>""</f>
        <v/>
      </c>
      <c r="CL54" t="str">
        <f>""</f>
        <v/>
      </c>
      <c r="CM54" t="str">
        <f>""</f>
        <v/>
      </c>
      <c r="CN54" t="str">
        <f>""</f>
        <v/>
      </c>
      <c r="CO54" t="str">
        <f>""</f>
        <v/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  <c r="DT54" t="str">
        <f>""</f>
        <v/>
      </c>
      <c r="DU54" t="str">
        <f>""</f>
        <v/>
      </c>
    </row>
    <row r="55" spans="1:125">
      <c r="A55" t="str">
        <f>"BDH snapshot result2"</f>
        <v>BDH snapshot result2</v>
      </c>
      <c r="BN55" t="str">
        <f>""</f>
        <v/>
      </c>
      <c r="BO55" t="str">
        <f>""</f>
        <v/>
      </c>
      <c r="BP55" t="str">
        <f>""</f>
        <v/>
      </c>
      <c r="BQ55" t="str">
        <f>""</f>
        <v/>
      </c>
      <c r="BR55" t="str">
        <f>""</f>
        <v/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  <c r="CH55" t="str">
        <f>""</f>
        <v/>
      </c>
      <c r="CI55" t="str">
        <f>""</f>
        <v/>
      </c>
      <c r="CJ55" t="str">
        <f>""</f>
        <v/>
      </c>
      <c r="CK55" t="str">
        <f>""</f>
        <v/>
      </c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</row>
    <row r="56" spans="1:125">
      <c r="A56" t="str">
        <f>"BDH snapshot"</f>
        <v>BDH snapshot</v>
      </c>
      <c r="B56">
        <f>IF($B$50&gt;=1,$B$50,IF($B$52&gt;=1,$B$52,IF($B$54&gt;=1,$B$54,$B$49)))</f>
        <v>2</v>
      </c>
      <c r="C56" t="str">
        <f>IF($B$50&gt;=1,$C$50,IF($B$52&gt;=1,$C$52,IF($B$54&gt;=1,$C$54,$C$49)))</f>
        <v>2017 Q4</v>
      </c>
      <c r="D56" t="str">
        <f>IF($B$50&gt;=1,$D$50,IF($B$52&gt;=1,$D$52,IF($B$54&gt;=1,$D$54,$D$49)))</f>
        <v>2017 Q3</v>
      </c>
      <c r="E56" t="str">
        <f>IF($B$50&gt;=1,$E$50,IF($B$52&gt;=1,$E$52,IF($B$54&gt;=1,$E$54,$E$49)))</f>
        <v>2017 Q2</v>
      </c>
      <c r="F56" t="str">
        <f>IF($B$50&gt;=1,$F$50,IF($B$52&gt;=1,$F$52,IF($B$54&gt;=1,$F$54,$F$49)))</f>
        <v>2017 Q1</v>
      </c>
      <c r="G56" t="str">
        <f>IF($B$50&gt;=1,$G$50,IF($B$52&gt;=1,$G$52,IF($B$54&gt;=1,$G$54,$G$49)))</f>
        <v>2016 Q4</v>
      </c>
      <c r="H56" t="str">
        <f>IF($B$50&gt;=1,$H$50,IF($B$52&gt;=1,$H$52,IF($B$54&gt;=1,$H$54,$H$49)))</f>
        <v>2016 Q3</v>
      </c>
      <c r="I56" t="str">
        <f>IF($B$50&gt;=1,$I$50,IF($B$52&gt;=1,$I$52,IF($B$54&gt;=1,$I$54,$I$49)))</f>
        <v>2016 Q2</v>
      </c>
      <c r="J56" t="str">
        <f>IF($B$50&gt;=1,$J$50,IF($B$52&gt;=1,$J$52,IF($B$54&gt;=1,$J$54,$J$49)))</f>
        <v>2016 Q1</v>
      </c>
      <c r="K56" t="str">
        <f>IF($B$50&gt;=1,$K$50,IF($B$52&gt;=1,$K$52,IF($B$54&gt;=1,$K$54,$K$49)))</f>
        <v>2015 Q4</v>
      </c>
      <c r="L56" t="str">
        <f>IF($B$50&gt;=1,$L$50,IF($B$52&gt;=1,$L$52,IF($B$54&gt;=1,$L$54,$L$49)))</f>
        <v>2015 Q3</v>
      </c>
      <c r="M56" t="str">
        <f>IF($B$50&gt;=1,$M$50,IF($B$52&gt;=1,$M$52,IF($B$54&gt;=1,$M$54,$M$49)))</f>
        <v>2015 Q2</v>
      </c>
      <c r="N56" t="str">
        <f>IF($B$50&gt;=1,$N$50,IF($B$52&gt;=1,$N$52,IF($B$54&gt;=1,$N$54,$N$49)))</f>
        <v>2015 Q1</v>
      </c>
      <c r="O56" t="str">
        <f>IF($B$50&gt;=1,$O$50,IF($B$52&gt;=1,$O$52,IF($B$54&gt;=1,$O$54,$O$49)))</f>
        <v>2014 Q4</v>
      </c>
      <c r="P56" t="str">
        <f>IF($B$50&gt;=1,$P$50,IF($B$52&gt;=1,$P$52,IF($B$54&gt;=1,$P$54,$P$49)))</f>
        <v>2014 Q3</v>
      </c>
      <c r="Q56" t="str">
        <f>IF($B$50&gt;=1,$Q$50,IF($B$52&gt;=1,$Q$52,IF($B$54&gt;=1,$Q$54,$Q$49)))</f>
        <v>2014 Q2</v>
      </c>
      <c r="R56" t="str">
        <f>IF($B$50&gt;=1,$R$50,IF($B$52&gt;=1,$R$52,IF($B$54&gt;=1,$R$54,$R$49)))</f>
        <v>2014 Q1</v>
      </c>
      <c r="S56" t="str">
        <f>IF($B$50&gt;=1,$S$50,IF($B$52&gt;=1,$S$52,IF($B$54&gt;=1,$S$54,$S$49)))</f>
        <v>2013 Q4</v>
      </c>
      <c r="T56" t="str">
        <f>IF($B$50&gt;=1,$T$50,IF($B$52&gt;=1,$T$52,IF($B$54&gt;=1,$T$54,$T$49)))</f>
        <v>2013 Q3</v>
      </c>
      <c r="U56" t="str">
        <f>IF($B$50&gt;=1,$U$50,IF($B$52&gt;=1,$U$52,IF($B$54&gt;=1,$U$54,$U$49)))</f>
        <v>2013 Q2</v>
      </c>
      <c r="V56" t="str">
        <f>IF($B$50&gt;=1,$V$50,IF($B$52&gt;=1,$V$52,IF($B$54&gt;=1,$V$54,$V$49)))</f>
        <v>2013 Q1</v>
      </c>
      <c r="W56" t="str">
        <f>IF($B$50&gt;=1,$W$50,IF($B$52&gt;=1,$W$52,IF($B$54&gt;=1,$W$54,$W$49)))</f>
        <v>2012 Q4</v>
      </c>
      <c r="X56" t="str">
        <f>IF($B$50&gt;=1,$X$50,IF($B$52&gt;=1,$X$52,IF($B$54&gt;=1,$X$54,$X$49)))</f>
        <v>2012 Q3</v>
      </c>
      <c r="Y56" t="str">
        <f>IF($B$50&gt;=1,$Y$50,IF($B$52&gt;=1,$Y$52,IF($B$54&gt;=1,$Y$54,$Y$49)))</f>
        <v>2012 Q2</v>
      </c>
      <c r="Z56" t="str">
        <f>IF($B$50&gt;=1,$Z$50,IF($B$52&gt;=1,$Z$52,IF($B$54&gt;=1,$Z$54,$Z$49)))</f>
        <v>2012 Q1</v>
      </c>
      <c r="AA56" t="str">
        <f>IF($B$50&gt;=1,$AA$50,IF($B$52&gt;=1,$AA$52,IF($B$54&gt;=1,$AA$54,$AA$49)))</f>
        <v>2011 Q4</v>
      </c>
      <c r="AB56" t="str">
        <f>IF($B$50&gt;=1,$AB$50,IF($B$52&gt;=1,$AB$52,IF($B$54&gt;=1,$AB$54,$AB$49)))</f>
        <v>2011 Q3</v>
      </c>
      <c r="AC56" t="str">
        <f>IF($B$50&gt;=1,$AC$50,IF($B$52&gt;=1,$AC$52,IF($B$54&gt;=1,$AC$54,$AC$49)))</f>
        <v>2011 Q2</v>
      </c>
      <c r="AD56" t="str">
        <f>IF($B$50&gt;=1,$AD$50,IF($B$52&gt;=1,$AD$52,IF($B$54&gt;=1,$AD$54,$AD$49)))</f>
        <v>2011 Q1</v>
      </c>
      <c r="AE56" t="str">
        <f>IF($B$50&gt;=1,$AE$50,IF($B$52&gt;=1,$AE$52,IF($B$54&gt;=1,$AE$54,$AE$49)))</f>
        <v>2010 Q4</v>
      </c>
      <c r="AF56" t="str">
        <f>IF($B$50&gt;=1,$AF$50,IF($B$52&gt;=1,$AF$52,IF($B$54&gt;=1,$AF$54,$AF$49)))</f>
        <v>2010 Q3</v>
      </c>
      <c r="AG56" t="str">
        <f>IF($B$50&gt;=1,$AG$50,IF($B$52&gt;=1,$AG$52,IF($B$54&gt;=1,$AG$54,$AG$49)))</f>
        <v>2010 Q2</v>
      </c>
      <c r="AH56" t="str">
        <f>IF($B$50&gt;=1,$AH$50,IF($B$52&gt;=1,$AH$52,IF($B$54&gt;=1,$AH$54,$AH$49)))</f>
        <v>2010 Q1</v>
      </c>
      <c r="AI56" t="str">
        <f>IF($B$50&gt;=1,$AI$50,IF($B$52&gt;=1,$AI$52,IF($B$54&gt;=1,$AI$54,$AI$49)))</f>
        <v>2009 Q4</v>
      </c>
      <c r="AJ56" t="str">
        <f>IF($B$50&gt;=1,$AJ$50,IF($B$52&gt;=1,$AJ$52,IF($B$54&gt;=1,$AJ$54,$AJ$49)))</f>
        <v>2009 Q3</v>
      </c>
      <c r="AK56" t="str">
        <f>IF($B$50&gt;=1,$AK$50,IF($B$52&gt;=1,$AK$52,IF($B$54&gt;=1,$AK$54,$AK$49)))</f>
        <v>2009 Q2</v>
      </c>
      <c r="AL56" t="str">
        <f>IF($B$50&gt;=1,$AL$50,IF($B$52&gt;=1,$AL$52,IF($B$54&gt;=1,$AL$54,$AL$49)))</f>
        <v>2009 Q1</v>
      </c>
      <c r="AM56" t="str">
        <f>IF($B$50&gt;=1,$AM$50,IF($B$52&gt;=1,$AM$52,IF($B$54&gt;=1,$AM$54,$AM$49)))</f>
        <v>2008 Q4</v>
      </c>
      <c r="AN56" t="str">
        <f>IF($B$50&gt;=1,$AN$50,IF($B$52&gt;=1,$AN$52,IF($B$54&gt;=1,$AN$54,$AN$49)))</f>
        <v>2008 Q3</v>
      </c>
      <c r="AO56" t="str">
        <f>IF($B$50&gt;=1,$AO$50,IF($B$52&gt;=1,$AO$52,IF($B$54&gt;=1,$AO$54,$AO$49)))</f>
        <v>2008 Q2</v>
      </c>
      <c r="AP56" t="str">
        <f>IF($B$50&gt;=1,$AP$50,IF($B$52&gt;=1,$AP$52,IF($B$54&gt;=1,$AP$54,$AP$49)))</f>
        <v>2008 Q1</v>
      </c>
      <c r="AQ56" t="str">
        <f>IF($B$50&gt;=1,$AQ$50,IF($B$52&gt;=1,$AQ$52,IF($B$54&gt;=1,$AQ$54,$AQ$49)))</f>
        <v>2007 Q4</v>
      </c>
      <c r="AR56" t="str">
        <f>IF($B$50&gt;=1,$AR$50,IF($B$52&gt;=1,$AR$52,IF($B$54&gt;=1,$AR$54,$AR$49)))</f>
        <v>2007 Q3</v>
      </c>
      <c r="AS56" t="str">
        <f>IF($B$50&gt;=1,$AS$50,IF($B$52&gt;=1,$AS$52,IF($B$54&gt;=1,$AS$54,$AS$49)))</f>
        <v>2007 Q2</v>
      </c>
      <c r="AT56" t="str">
        <f>IF($B$50&gt;=1,$AT$50,IF($B$52&gt;=1,$AT$52,IF($B$54&gt;=1,$AT$54,$AT$49)))</f>
        <v>2007 Q1</v>
      </c>
      <c r="AU56" t="str">
        <f>IF($B$50&gt;=1,$AU$50,IF($B$52&gt;=1,$AU$52,IF($B$54&gt;=1,$AU$54,$AU$49)))</f>
        <v>2006 Q4</v>
      </c>
      <c r="AV56" t="str">
        <f>IF($B$50&gt;=1,$AV$50,IF($B$52&gt;=1,$AV$52,IF($B$54&gt;=1,$AV$54,$AV$49)))</f>
        <v>2006 Q3</v>
      </c>
      <c r="AW56" t="str">
        <f>IF($B$50&gt;=1,$AW$50,IF($B$52&gt;=1,$AW$52,IF($B$54&gt;=1,$AW$54,$AW$49)))</f>
        <v>2006 Q2</v>
      </c>
      <c r="AX56" t="str">
        <f>IF($B$50&gt;=1,$AX$50,IF($B$52&gt;=1,$AX$52,IF($B$54&gt;=1,$AX$54,$AX$49)))</f>
        <v>2006 Q1</v>
      </c>
      <c r="AY56" t="str">
        <f>IF($B$50&gt;=1,$AY$50,IF($B$52&gt;=1,$AY$52,IF($B$54&gt;=1,$AY$54,$AY$49)))</f>
        <v>2005 Q4</v>
      </c>
      <c r="AZ56" t="str">
        <f>IF($B$50&gt;=1,$AZ$50,IF($B$52&gt;=1,$AZ$52,IF($B$54&gt;=1,$AZ$54,$AZ$49)))</f>
        <v>2005 Q3</v>
      </c>
      <c r="BA56" t="str">
        <f>IF($B$50&gt;=1,$BA$50,IF($B$52&gt;=1,$BA$52,IF($B$54&gt;=1,$BA$54,$BA$49)))</f>
        <v>2005 Q2</v>
      </c>
      <c r="BB56" t="str">
        <f>IF($B$50&gt;=1,$BB$50,IF($B$52&gt;=1,$BB$52,IF($B$54&gt;=1,$BB$54,$BB$49)))</f>
        <v>2005 Q1</v>
      </c>
      <c r="BC56" t="str">
        <f>IF($B$50&gt;=1,$BC$50,IF($B$52&gt;=1,$BC$52,IF($B$54&gt;=1,$BC$54,$BC$49)))</f>
        <v>2004 Q4</v>
      </c>
      <c r="BD56" t="str">
        <f>IF($B$50&gt;=1,$BD$50,IF($B$52&gt;=1,$BD$52,IF($B$54&gt;=1,$BD$54,$BD$49)))</f>
        <v>2004 Q3</v>
      </c>
      <c r="BE56" t="str">
        <f>IF($B$50&gt;=1,$BE$50,IF($B$52&gt;=1,$BE$52,IF($B$54&gt;=1,$BE$54,$BE$49)))</f>
        <v>2004 Q2</v>
      </c>
      <c r="BF56" t="str">
        <f>IF($B$50&gt;=1,$BF$50,IF($B$52&gt;=1,$BF$52,IF($B$54&gt;=1,$BF$54,$BF$49)))</f>
        <v>2004 Q1</v>
      </c>
      <c r="BG56" t="str">
        <f>IF($B$50&gt;=1,$BG$50,IF($B$52&gt;=1,$BG$52,IF($B$54&gt;=1,$BG$54,$BG$49)))</f>
        <v>2003 Q4</v>
      </c>
      <c r="BH56" t="str">
        <f>IF($B$50&gt;=1,$BH$50,IF($B$52&gt;=1,$BH$52,IF($B$54&gt;=1,$BH$54,$BH$49)))</f>
        <v>2003 Q3</v>
      </c>
      <c r="BI56" t="str">
        <f>IF($B$50&gt;=1,$BI$50,IF($B$52&gt;=1,$BI$52,IF($B$54&gt;=1,$BI$54,$BI$49)))</f>
        <v>2003 Q2</v>
      </c>
      <c r="BJ56" t="str">
        <f>IF($B$50&gt;=1,$BJ$50,IF($B$52&gt;=1,$BJ$52,IF($B$54&gt;=1,$BJ$54,$BJ$49)))</f>
        <v>2003 Q1</v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  <c r="CI56" t="str">
        <f>""</f>
        <v/>
      </c>
      <c r="CJ56" t="str">
        <f>""</f>
        <v/>
      </c>
      <c r="CK56" t="str">
        <f>""</f>
        <v/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>
      <c r="A57" t="str">
        <f>"BDH snapshot title"</f>
        <v>BDH snapshot title</v>
      </c>
      <c r="B57">
        <f>$B$56</f>
        <v>2</v>
      </c>
      <c r="C57" t="str">
        <f>IF(LEN($C$56)&lt;&gt;8,$C$56,RIGHT($C$56,4)&amp;" "&amp;MID($C$56,3,1)&amp;LEFT($C$56,1))</f>
        <v>2017 Q4</v>
      </c>
      <c r="D57" t="str">
        <f>IF(LEN($D$56)&lt;&gt;8,$D$56,RIGHT($D$56,4)&amp;" "&amp;MID($D$56,3,1)&amp;LEFT($D$56,1))</f>
        <v>2017 Q3</v>
      </c>
      <c r="E57" t="str">
        <f>IF(LEN($E$56)&lt;&gt;8,$E$56,RIGHT($E$56,4)&amp;" "&amp;MID($E$56,3,1)&amp;LEFT($E$56,1))</f>
        <v>2017 Q2</v>
      </c>
      <c r="F57" t="str">
        <f>IF(LEN($F$56)&lt;&gt;8,$F$56,RIGHT($F$56,4)&amp;" "&amp;MID($F$56,3,1)&amp;LEFT($F$56,1))</f>
        <v>2017 Q1</v>
      </c>
      <c r="G57" t="str">
        <f>IF(LEN($G$56)&lt;&gt;8,$G$56,RIGHT($G$56,4)&amp;" "&amp;MID($G$56,3,1)&amp;LEFT($G$56,1))</f>
        <v>2016 Q4</v>
      </c>
      <c r="H57" t="str">
        <f>IF(LEN($H$56)&lt;&gt;8,$H$56,RIGHT($H$56,4)&amp;" "&amp;MID($H$56,3,1)&amp;LEFT($H$56,1))</f>
        <v>2016 Q3</v>
      </c>
      <c r="I57" t="str">
        <f>IF(LEN($I$56)&lt;&gt;8,$I$56,RIGHT($I$56,4)&amp;" "&amp;MID($I$56,3,1)&amp;LEFT($I$56,1))</f>
        <v>2016 Q2</v>
      </c>
      <c r="J57" t="str">
        <f>IF(LEN($J$56)&lt;&gt;8,$J$56,RIGHT($J$56,4)&amp;" "&amp;MID($J$56,3,1)&amp;LEFT($J$56,1))</f>
        <v>2016 Q1</v>
      </c>
      <c r="K57" t="str">
        <f>IF(LEN($K$56)&lt;&gt;8,$K$56,RIGHT($K$56,4)&amp;" "&amp;MID($K$56,3,1)&amp;LEFT($K$56,1))</f>
        <v>2015 Q4</v>
      </c>
      <c r="L57" t="str">
        <f>IF(LEN($L$56)&lt;&gt;8,$L$56,RIGHT($L$56,4)&amp;" "&amp;MID($L$56,3,1)&amp;LEFT($L$56,1))</f>
        <v>2015 Q3</v>
      </c>
      <c r="M57" t="str">
        <f>IF(LEN($M$56)&lt;&gt;8,$M$56,RIGHT($M$56,4)&amp;" "&amp;MID($M$56,3,1)&amp;LEFT($M$56,1))</f>
        <v>2015 Q2</v>
      </c>
      <c r="N57" t="str">
        <f>IF(LEN($N$56)&lt;&gt;8,$N$56,RIGHT($N$56,4)&amp;" "&amp;MID($N$56,3,1)&amp;LEFT($N$56,1))</f>
        <v>2015 Q1</v>
      </c>
      <c r="O57" t="str">
        <f>IF(LEN($O$56)&lt;&gt;8,$O$56,RIGHT($O$56,4)&amp;" "&amp;MID($O$56,3,1)&amp;LEFT($O$56,1))</f>
        <v>2014 Q4</v>
      </c>
      <c r="P57" t="str">
        <f>IF(LEN($P$56)&lt;&gt;8,$P$56,RIGHT($P$56,4)&amp;" "&amp;MID($P$56,3,1)&amp;LEFT($P$56,1))</f>
        <v>2014 Q3</v>
      </c>
      <c r="Q57" t="str">
        <f>IF(LEN($Q$56)&lt;&gt;8,$Q$56,RIGHT($Q$56,4)&amp;" "&amp;MID($Q$56,3,1)&amp;LEFT($Q$56,1))</f>
        <v>2014 Q2</v>
      </c>
      <c r="R57" t="str">
        <f>IF(LEN($R$56)&lt;&gt;8,$R$56,RIGHT($R$56,4)&amp;" "&amp;MID($R$56,3,1)&amp;LEFT($R$56,1))</f>
        <v>2014 Q1</v>
      </c>
      <c r="S57" t="str">
        <f>IF(LEN($S$56)&lt;&gt;8,$S$56,RIGHT($S$56,4)&amp;" "&amp;MID($S$56,3,1)&amp;LEFT($S$56,1))</f>
        <v>2013 Q4</v>
      </c>
      <c r="T57" t="str">
        <f>IF(LEN($T$56)&lt;&gt;8,$T$56,RIGHT($T$56,4)&amp;" "&amp;MID($T$56,3,1)&amp;LEFT($T$56,1))</f>
        <v>2013 Q3</v>
      </c>
      <c r="U57" t="str">
        <f>IF(LEN($U$56)&lt;&gt;8,$U$56,RIGHT($U$56,4)&amp;" "&amp;MID($U$56,3,1)&amp;LEFT($U$56,1))</f>
        <v>2013 Q2</v>
      </c>
      <c r="V57" t="str">
        <f>IF(LEN($V$56)&lt;&gt;8,$V$56,RIGHT($V$56,4)&amp;" "&amp;MID($V$56,3,1)&amp;LEFT($V$56,1))</f>
        <v>2013 Q1</v>
      </c>
      <c r="W57" t="str">
        <f>IF(LEN($W$56)&lt;&gt;8,$W$56,RIGHT($W$56,4)&amp;" "&amp;MID($W$56,3,1)&amp;LEFT($W$56,1))</f>
        <v>2012 Q4</v>
      </c>
      <c r="X57" t="str">
        <f>IF(LEN($X$56)&lt;&gt;8,$X$56,RIGHT($X$56,4)&amp;" "&amp;MID($X$56,3,1)&amp;LEFT($X$56,1))</f>
        <v>2012 Q3</v>
      </c>
      <c r="Y57" t="str">
        <f>IF(LEN($Y$56)&lt;&gt;8,$Y$56,RIGHT($Y$56,4)&amp;" "&amp;MID($Y$56,3,1)&amp;LEFT($Y$56,1))</f>
        <v>2012 Q2</v>
      </c>
      <c r="Z57" t="str">
        <f>IF(LEN($Z$56)&lt;&gt;8,$Z$56,RIGHT($Z$56,4)&amp;" "&amp;MID($Z$56,3,1)&amp;LEFT($Z$56,1))</f>
        <v>2012 Q1</v>
      </c>
      <c r="AA57" t="str">
        <f>IF(LEN($AA$56)&lt;&gt;8,$AA$56,RIGHT($AA$56,4)&amp;" "&amp;MID($AA$56,3,1)&amp;LEFT($AA$56,1))</f>
        <v>2011 Q4</v>
      </c>
      <c r="AB57" t="str">
        <f>IF(LEN($AB$56)&lt;&gt;8,$AB$56,RIGHT($AB$56,4)&amp;" "&amp;MID($AB$56,3,1)&amp;LEFT($AB$56,1))</f>
        <v>2011 Q3</v>
      </c>
      <c r="AC57" t="str">
        <f>IF(LEN($AC$56)&lt;&gt;8,$AC$56,RIGHT($AC$56,4)&amp;" "&amp;MID($AC$56,3,1)&amp;LEFT($AC$56,1))</f>
        <v>2011 Q2</v>
      </c>
      <c r="AD57" t="str">
        <f>IF(LEN($AD$56)&lt;&gt;8,$AD$56,RIGHT($AD$56,4)&amp;" "&amp;MID($AD$56,3,1)&amp;LEFT($AD$56,1))</f>
        <v>2011 Q1</v>
      </c>
      <c r="AE57" t="str">
        <f>IF(LEN($AE$56)&lt;&gt;8,$AE$56,RIGHT($AE$56,4)&amp;" "&amp;MID($AE$56,3,1)&amp;LEFT($AE$56,1))</f>
        <v>2010 Q4</v>
      </c>
      <c r="AF57" t="str">
        <f>IF(LEN($AF$56)&lt;&gt;8,$AF$56,RIGHT($AF$56,4)&amp;" "&amp;MID($AF$56,3,1)&amp;LEFT($AF$56,1))</f>
        <v>2010 Q3</v>
      </c>
      <c r="AG57" t="str">
        <f>IF(LEN($AG$56)&lt;&gt;8,$AG$56,RIGHT($AG$56,4)&amp;" "&amp;MID($AG$56,3,1)&amp;LEFT($AG$56,1))</f>
        <v>2010 Q2</v>
      </c>
      <c r="AH57" t="str">
        <f>IF(LEN($AH$56)&lt;&gt;8,$AH$56,RIGHT($AH$56,4)&amp;" "&amp;MID($AH$56,3,1)&amp;LEFT($AH$56,1))</f>
        <v>2010 Q1</v>
      </c>
      <c r="AI57" t="str">
        <f>IF(LEN($AI$56)&lt;&gt;8,$AI$56,RIGHT($AI$56,4)&amp;" "&amp;MID($AI$56,3,1)&amp;LEFT($AI$56,1))</f>
        <v>2009 Q4</v>
      </c>
      <c r="AJ57" t="str">
        <f>IF(LEN($AJ$56)&lt;&gt;8,$AJ$56,RIGHT($AJ$56,4)&amp;" "&amp;MID($AJ$56,3,1)&amp;LEFT($AJ$56,1))</f>
        <v>2009 Q3</v>
      </c>
      <c r="AK57" t="str">
        <f>IF(LEN($AK$56)&lt;&gt;8,$AK$56,RIGHT($AK$56,4)&amp;" "&amp;MID($AK$56,3,1)&amp;LEFT($AK$56,1))</f>
        <v>2009 Q2</v>
      </c>
      <c r="AL57" t="str">
        <f>IF(LEN($AL$56)&lt;&gt;8,$AL$56,RIGHT($AL$56,4)&amp;" "&amp;MID($AL$56,3,1)&amp;LEFT($AL$56,1))</f>
        <v>2009 Q1</v>
      </c>
      <c r="AM57" t="str">
        <f>IF(LEN($AM$56)&lt;&gt;8,$AM$56,RIGHT($AM$56,4)&amp;" "&amp;MID($AM$56,3,1)&amp;LEFT($AM$56,1))</f>
        <v>2008 Q4</v>
      </c>
      <c r="AN57" t="str">
        <f>IF(LEN($AN$56)&lt;&gt;8,$AN$56,RIGHT($AN$56,4)&amp;" "&amp;MID($AN$56,3,1)&amp;LEFT($AN$56,1))</f>
        <v>2008 Q3</v>
      </c>
      <c r="AO57" t="str">
        <f>IF(LEN($AO$56)&lt;&gt;8,$AO$56,RIGHT($AO$56,4)&amp;" "&amp;MID($AO$56,3,1)&amp;LEFT($AO$56,1))</f>
        <v>2008 Q2</v>
      </c>
      <c r="AP57" t="str">
        <f>IF(LEN($AP$56)&lt;&gt;8,$AP$56,RIGHT($AP$56,4)&amp;" "&amp;MID($AP$56,3,1)&amp;LEFT($AP$56,1))</f>
        <v>2008 Q1</v>
      </c>
      <c r="AQ57" t="str">
        <f>IF(LEN($AQ$56)&lt;&gt;8,$AQ$56,RIGHT($AQ$56,4)&amp;" "&amp;MID($AQ$56,3,1)&amp;LEFT($AQ$56,1))</f>
        <v>2007 Q4</v>
      </c>
      <c r="AR57" t="str">
        <f>IF(LEN($AR$56)&lt;&gt;8,$AR$56,RIGHT($AR$56,4)&amp;" "&amp;MID($AR$56,3,1)&amp;LEFT($AR$56,1))</f>
        <v>2007 Q3</v>
      </c>
      <c r="AS57" t="str">
        <f>IF(LEN($AS$56)&lt;&gt;8,$AS$56,RIGHT($AS$56,4)&amp;" "&amp;MID($AS$56,3,1)&amp;LEFT($AS$56,1))</f>
        <v>2007 Q2</v>
      </c>
      <c r="AT57" t="str">
        <f>IF(LEN($AT$56)&lt;&gt;8,$AT$56,RIGHT($AT$56,4)&amp;" "&amp;MID($AT$56,3,1)&amp;LEFT($AT$56,1))</f>
        <v>2007 Q1</v>
      </c>
      <c r="AU57" t="str">
        <f>IF(LEN($AU$56)&lt;&gt;8,$AU$56,RIGHT($AU$56,4)&amp;" "&amp;MID($AU$56,3,1)&amp;LEFT($AU$56,1))</f>
        <v>2006 Q4</v>
      </c>
      <c r="AV57" t="str">
        <f>IF(LEN($AV$56)&lt;&gt;8,$AV$56,RIGHT($AV$56,4)&amp;" "&amp;MID($AV$56,3,1)&amp;LEFT($AV$56,1))</f>
        <v>2006 Q3</v>
      </c>
      <c r="AW57" t="str">
        <f>IF(LEN($AW$56)&lt;&gt;8,$AW$56,RIGHT($AW$56,4)&amp;" "&amp;MID($AW$56,3,1)&amp;LEFT($AW$56,1))</f>
        <v>2006 Q2</v>
      </c>
      <c r="AX57" t="str">
        <f>IF(LEN($AX$56)&lt;&gt;8,$AX$56,RIGHT($AX$56,4)&amp;" "&amp;MID($AX$56,3,1)&amp;LEFT($AX$56,1))</f>
        <v>2006 Q1</v>
      </c>
      <c r="AY57" t="str">
        <f>IF(LEN($AY$56)&lt;&gt;8,$AY$56,RIGHT($AY$56,4)&amp;" "&amp;MID($AY$56,3,1)&amp;LEFT($AY$56,1))</f>
        <v>2005 Q4</v>
      </c>
      <c r="AZ57" t="str">
        <f>IF(LEN($AZ$56)&lt;&gt;8,$AZ$56,RIGHT($AZ$56,4)&amp;" "&amp;MID($AZ$56,3,1)&amp;LEFT($AZ$56,1))</f>
        <v>2005 Q3</v>
      </c>
      <c r="BA57" t="str">
        <f>IF(LEN($BA$56)&lt;&gt;8,$BA$56,RIGHT($BA$56,4)&amp;" "&amp;MID($BA$56,3,1)&amp;LEFT($BA$56,1))</f>
        <v>2005 Q2</v>
      </c>
      <c r="BB57" t="str">
        <f>IF(LEN($BB$56)&lt;&gt;8,$BB$56,RIGHT($BB$56,4)&amp;" "&amp;MID($BB$56,3,1)&amp;LEFT($BB$56,1))</f>
        <v>2005 Q1</v>
      </c>
      <c r="BC57" t="str">
        <f>IF(LEN($BC$56)&lt;&gt;8,$BC$56,RIGHT($BC$56,4)&amp;" "&amp;MID($BC$56,3,1)&amp;LEFT($BC$56,1))</f>
        <v>2004 Q4</v>
      </c>
      <c r="BD57" t="str">
        <f>IF(LEN($BD$56)&lt;&gt;8,$BD$56,RIGHT($BD$56,4)&amp;" "&amp;MID($BD$56,3,1)&amp;LEFT($BD$56,1))</f>
        <v>2004 Q3</v>
      </c>
      <c r="BE57" t="str">
        <f>IF(LEN($BE$56)&lt;&gt;8,$BE$56,RIGHT($BE$56,4)&amp;" "&amp;MID($BE$56,3,1)&amp;LEFT($BE$56,1))</f>
        <v>2004 Q2</v>
      </c>
      <c r="BF57" t="str">
        <f>IF(LEN($BF$56)&lt;&gt;8,$BF$56,RIGHT($BF$56,4)&amp;" "&amp;MID($BF$56,3,1)&amp;LEFT($BF$56,1))</f>
        <v>2004 Q1</v>
      </c>
      <c r="BG57" t="str">
        <f>IF(LEN($BG$56)&lt;&gt;8,$BG$56,RIGHT($BG$56,4)&amp;" "&amp;MID($BG$56,3,1)&amp;LEFT($BG$56,1))</f>
        <v>2003 Q4</v>
      </c>
      <c r="BH57" t="str">
        <f>IF(LEN($BH$56)&lt;&gt;8,$BH$56,RIGHT($BH$56,4)&amp;" "&amp;MID($BH$56,3,1)&amp;LEFT($BH$56,1))</f>
        <v>2003 Q3</v>
      </c>
      <c r="BI57" t="str">
        <f>IF(LEN($BI$56)&lt;&gt;8,$BI$56,RIGHT($BI$56,4)&amp;" "&amp;MID($BI$56,3,1)&amp;LEFT($BI$56,1))</f>
        <v>2003 Q2</v>
      </c>
      <c r="BJ57" t="str">
        <f>IF(LEN($BJ$56)&lt;&gt;8,$BJ$56,RIGHT($BJ$56,4)&amp;" "&amp;MID($BJ$56,3,1)&amp;LEFT($BJ$56,1))</f>
        <v>2003 Q1</v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  <c r="CH57" t="str">
        <f>""</f>
        <v/>
      </c>
      <c r="CI57" t="str">
        <f>""</f>
        <v/>
      </c>
      <c r="CJ57" t="str">
        <f>""</f>
        <v/>
      </c>
      <c r="CK57" t="str">
        <f>""</f>
        <v/>
      </c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>
      <c r="A58" t="str">
        <f>"BDH dynamic header0"</f>
        <v>BDH dynamic header0</v>
      </c>
      <c r="B58">
        <f ca="1">IF(OR(ISERROR($C$58),ISBLANK($C$58),ISNUMBER(SEARCH("N/A",$C$58) ),ISERROR($C$59),ISBLANK($C$59)),0,1)</f>
        <v>0</v>
      </c>
      <c r="C58" t="str">
        <f ca="1">BDH($B$30,$C$30,$B$26,$B$27,"PER=CQ","Dts=S","DtFmt=FI", "rows=2","Dir=H","Points=60","Sort=R","Days=A","Fill=B","FX=USD" )</f>
        <v>#N/A Requesting Data...</v>
      </c>
      <c r="BN58" t="str">
        <f>""</f>
        <v/>
      </c>
      <c r="BO58" t="str">
        <f>""</f>
        <v/>
      </c>
      <c r="BP58" t="str">
        <f>""</f>
        <v/>
      </c>
      <c r="BQ58" t="str">
        <f>""</f>
        <v/>
      </c>
      <c r="BR58" t="str">
        <f>""</f>
        <v/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  <c r="CH58" t="str">
        <f>""</f>
        <v/>
      </c>
      <c r="CI58" t="str">
        <f>""</f>
        <v/>
      </c>
      <c r="CJ58" t="str">
        <f>""</f>
        <v/>
      </c>
      <c r="CK58" t="str">
        <f>""</f>
        <v/>
      </c>
      <c r="CL58" t="str">
        <f>""</f>
        <v/>
      </c>
      <c r="CM58" t="str">
        <f>""</f>
        <v/>
      </c>
      <c r="CN58" t="str">
        <f>""</f>
        <v/>
      </c>
      <c r="CO58" t="str">
        <f>""</f>
        <v/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</row>
    <row r="59" spans="1:125">
      <c r="A59" t="str">
        <f>"BDH dynamic result0"</f>
        <v>BDH dynamic result0</v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>
      <c r="A60" t="str">
        <f>"BDH dynamic header1"</f>
        <v>BDH dynamic header1</v>
      </c>
      <c r="B60">
        <f ca="1">IF(OR(ISERROR($C$60),ISBLANK($C$60),ISNUMBER(SEARCH("N/A",$C$60) ),ISERROR($C$61),ISBLANK($C$61)),0,1)</f>
        <v>0</v>
      </c>
      <c r="C60" t="str">
        <f ca="1">BDH($B$31,$C$31,$B$26,$B$27,"PER=CQ","Dts=S","DtFmt=FI", "rows=2","Dir=H","Points=60","Sort=R","Days=A","Fill=B","FX=USD" )</f>
        <v>#N/A Requesting Data...</v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  <c r="CH60" t="str">
        <f>""</f>
        <v/>
      </c>
      <c r="CI60" t="str">
        <f>""</f>
        <v/>
      </c>
      <c r="CJ60" t="str">
        <f>""</f>
        <v/>
      </c>
      <c r="CK60" t="str">
        <f>""</f>
        <v/>
      </c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</row>
    <row r="61" spans="1:125">
      <c r="A61" t="str">
        <f>"BDH dynamic result1"</f>
        <v>BDH dynamic result1</v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</row>
    <row r="62" spans="1:125">
      <c r="A62" t="str">
        <f>"BDH dynamic header2"</f>
        <v>BDH dynamic header2</v>
      </c>
      <c r="B62">
        <f ca="1">IF(OR(ISERROR($C$62),ISBLANK($C$62),ISNUMBER(SEARCH("N/A",$C$62) ),ISERROR($C$63),ISBLANK($C$63)),0,1)</f>
        <v>0</v>
      </c>
      <c r="C62" t="str">
        <f ca="1">BDH($B$32,$C$32,$B$26,$B$27,"PER=CQ","Dts=S","DtFmt=FI", "rows=2","Dir=H","Points=60","Sort=R","Days=A","Fill=B","FX=USD" )</f>
        <v>#N/A Requesting Data...</v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>
      <c r="A63" t="str">
        <f>"BDH dynamic result2"</f>
        <v>BDH dynamic result2</v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  <c r="CI63" t="str">
        <f>""</f>
        <v/>
      </c>
      <c r="CJ63" t="str">
        <f>""</f>
        <v/>
      </c>
      <c r="CK63" t="str">
        <f>""</f>
        <v/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>
      <c r="A64" t="str">
        <f>"BDH dynamic"</f>
        <v>BDH dynamic</v>
      </c>
      <c r="B64">
        <f ca="1">IF($B$58&gt;=1,$B$58,IF($B$60&gt;=1,$B$60,IF($B$62&gt;=1,$B$62,$B$49)))</f>
        <v>2</v>
      </c>
      <c r="C64" t="str">
        <f ca="1">IF($B$58&gt;=1,$C$58,IF($B$60&gt;=1,$C$60,IF($B$62&gt;=1,$C$62,$C$49)))</f>
        <v>2017 Q4</v>
      </c>
      <c r="D64" t="str">
        <f ca="1">IF($B$58&gt;=1,$D$58,IF($B$60&gt;=1,$D$60,IF($B$62&gt;=1,$D$62,$D$49)))</f>
        <v>2017 Q3</v>
      </c>
      <c r="E64" t="str">
        <f ca="1">IF($B$58&gt;=1,$E$58,IF($B$60&gt;=1,$E$60,IF($B$62&gt;=1,$E$62,$E$49)))</f>
        <v>2017 Q2</v>
      </c>
      <c r="F64" t="str">
        <f ca="1">IF($B$58&gt;=1,$F$58,IF($B$60&gt;=1,$F$60,IF($B$62&gt;=1,$F$62,$F$49)))</f>
        <v>2017 Q1</v>
      </c>
      <c r="G64" t="str">
        <f ca="1">IF($B$58&gt;=1,$G$58,IF($B$60&gt;=1,$G$60,IF($B$62&gt;=1,$G$62,$G$49)))</f>
        <v>2016 Q4</v>
      </c>
      <c r="H64" t="str">
        <f ca="1">IF($B$58&gt;=1,$H$58,IF($B$60&gt;=1,$H$60,IF($B$62&gt;=1,$H$62,$H$49)))</f>
        <v>2016 Q3</v>
      </c>
      <c r="I64" t="str">
        <f ca="1">IF($B$58&gt;=1,$I$58,IF($B$60&gt;=1,$I$60,IF($B$62&gt;=1,$I$62,$I$49)))</f>
        <v>2016 Q2</v>
      </c>
      <c r="J64" t="str">
        <f ca="1">IF($B$58&gt;=1,$J$58,IF($B$60&gt;=1,$J$60,IF($B$62&gt;=1,$J$62,$J$49)))</f>
        <v>2016 Q1</v>
      </c>
      <c r="K64" t="str">
        <f ca="1">IF($B$58&gt;=1,$K$58,IF($B$60&gt;=1,$K$60,IF($B$62&gt;=1,$K$62,$K$49)))</f>
        <v>2015 Q4</v>
      </c>
      <c r="L64" t="str">
        <f ca="1">IF($B$58&gt;=1,$L$58,IF($B$60&gt;=1,$L$60,IF($B$62&gt;=1,$L$62,$L$49)))</f>
        <v>2015 Q3</v>
      </c>
      <c r="M64" t="str">
        <f ca="1">IF($B$58&gt;=1,$M$58,IF($B$60&gt;=1,$M$60,IF($B$62&gt;=1,$M$62,$M$49)))</f>
        <v>2015 Q2</v>
      </c>
      <c r="N64" t="str">
        <f ca="1">IF($B$58&gt;=1,$N$58,IF($B$60&gt;=1,$N$60,IF($B$62&gt;=1,$N$62,$N$49)))</f>
        <v>2015 Q1</v>
      </c>
      <c r="O64" t="str">
        <f ca="1">IF($B$58&gt;=1,$O$58,IF($B$60&gt;=1,$O$60,IF($B$62&gt;=1,$O$62,$O$49)))</f>
        <v>2014 Q4</v>
      </c>
      <c r="P64" t="str">
        <f ca="1">IF($B$58&gt;=1,$P$58,IF($B$60&gt;=1,$P$60,IF($B$62&gt;=1,$P$62,$P$49)))</f>
        <v>2014 Q3</v>
      </c>
      <c r="Q64" t="str">
        <f ca="1">IF($B$58&gt;=1,$Q$58,IF($B$60&gt;=1,$Q$60,IF($B$62&gt;=1,$Q$62,$Q$49)))</f>
        <v>2014 Q2</v>
      </c>
      <c r="R64" t="str">
        <f ca="1">IF($B$58&gt;=1,$R$58,IF($B$60&gt;=1,$R$60,IF($B$62&gt;=1,$R$62,$R$49)))</f>
        <v>2014 Q1</v>
      </c>
      <c r="S64" t="str">
        <f ca="1">IF($B$58&gt;=1,$S$58,IF($B$60&gt;=1,$S$60,IF($B$62&gt;=1,$S$62,$S$49)))</f>
        <v>2013 Q4</v>
      </c>
      <c r="T64" t="str">
        <f ca="1">IF($B$58&gt;=1,$T$58,IF($B$60&gt;=1,$T$60,IF($B$62&gt;=1,$T$62,$T$49)))</f>
        <v>2013 Q3</v>
      </c>
      <c r="U64" t="str">
        <f ca="1">IF($B$58&gt;=1,$U$58,IF($B$60&gt;=1,$U$60,IF($B$62&gt;=1,$U$62,$U$49)))</f>
        <v>2013 Q2</v>
      </c>
      <c r="V64" t="str">
        <f ca="1">IF($B$58&gt;=1,$V$58,IF($B$60&gt;=1,$V$60,IF($B$62&gt;=1,$V$62,$V$49)))</f>
        <v>2013 Q1</v>
      </c>
      <c r="W64" t="str">
        <f ca="1">IF($B$58&gt;=1,$W$58,IF($B$60&gt;=1,$W$60,IF($B$62&gt;=1,$W$62,$W$49)))</f>
        <v>2012 Q4</v>
      </c>
      <c r="X64" t="str">
        <f ca="1">IF($B$58&gt;=1,$X$58,IF($B$60&gt;=1,$X$60,IF($B$62&gt;=1,$X$62,$X$49)))</f>
        <v>2012 Q3</v>
      </c>
      <c r="Y64" t="str">
        <f ca="1">IF($B$58&gt;=1,$Y$58,IF($B$60&gt;=1,$Y$60,IF($B$62&gt;=1,$Y$62,$Y$49)))</f>
        <v>2012 Q2</v>
      </c>
      <c r="Z64" t="str">
        <f ca="1">IF($B$58&gt;=1,$Z$58,IF($B$60&gt;=1,$Z$60,IF($B$62&gt;=1,$Z$62,$Z$49)))</f>
        <v>2012 Q1</v>
      </c>
      <c r="AA64" t="str">
        <f ca="1">IF($B$58&gt;=1,$AA$58,IF($B$60&gt;=1,$AA$60,IF($B$62&gt;=1,$AA$62,$AA$49)))</f>
        <v>2011 Q4</v>
      </c>
      <c r="AB64" t="str">
        <f ca="1">IF($B$58&gt;=1,$AB$58,IF($B$60&gt;=1,$AB$60,IF($B$62&gt;=1,$AB$62,$AB$49)))</f>
        <v>2011 Q3</v>
      </c>
      <c r="AC64" t="str">
        <f ca="1">IF($B$58&gt;=1,$AC$58,IF($B$60&gt;=1,$AC$60,IF($B$62&gt;=1,$AC$62,$AC$49)))</f>
        <v>2011 Q2</v>
      </c>
      <c r="AD64" t="str">
        <f ca="1">IF($B$58&gt;=1,$AD$58,IF($B$60&gt;=1,$AD$60,IF($B$62&gt;=1,$AD$62,$AD$49)))</f>
        <v>2011 Q1</v>
      </c>
      <c r="AE64" t="str">
        <f ca="1">IF($B$58&gt;=1,$AE$58,IF($B$60&gt;=1,$AE$60,IF($B$62&gt;=1,$AE$62,$AE$49)))</f>
        <v>2010 Q4</v>
      </c>
      <c r="AF64" t="str">
        <f ca="1">IF($B$58&gt;=1,$AF$58,IF($B$60&gt;=1,$AF$60,IF($B$62&gt;=1,$AF$62,$AF$49)))</f>
        <v>2010 Q3</v>
      </c>
      <c r="AG64" t="str">
        <f ca="1">IF($B$58&gt;=1,$AG$58,IF($B$60&gt;=1,$AG$60,IF($B$62&gt;=1,$AG$62,$AG$49)))</f>
        <v>2010 Q2</v>
      </c>
      <c r="AH64" t="str">
        <f ca="1">IF($B$58&gt;=1,$AH$58,IF($B$60&gt;=1,$AH$60,IF($B$62&gt;=1,$AH$62,$AH$49)))</f>
        <v>2010 Q1</v>
      </c>
      <c r="AI64" t="str">
        <f ca="1">IF($B$58&gt;=1,$AI$58,IF($B$60&gt;=1,$AI$60,IF($B$62&gt;=1,$AI$62,$AI$49)))</f>
        <v>2009 Q4</v>
      </c>
      <c r="AJ64" t="str">
        <f ca="1">IF($B$58&gt;=1,$AJ$58,IF($B$60&gt;=1,$AJ$60,IF($B$62&gt;=1,$AJ$62,$AJ$49)))</f>
        <v>2009 Q3</v>
      </c>
      <c r="AK64" t="str">
        <f ca="1">IF($B$58&gt;=1,$AK$58,IF($B$60&gt;=1,$AK$60,IF($B$62&gt;=1,$AK$62,$AK$49)))</f>
        <v>2009 Q2</v>
      </c>
      <c r="AL64" t="str">
        <f ca="1">IF($B$58&gt;=1,$AL$58,IF($B$60&gt;=1,$AL$60,IF($B$62&gt;=1,$AL$62,$AL$49)))</f>
        <v>2009 Q1</v>
      </c>
      <c r="AM64" t="str">
        <f ca="1">IF($B$58&gt;=1,$AM$58,IF($B$60&gt;=1,$AM$60,IF($B$62&gt;=1,$AM$62,$AM$49)))</f>
        <v>2008 Q4</v>
      </c>
      <c r="AN64" t="str">
        <f ca="1">IF($B$58&gt;=1,$AN$58,IF($B$60&gt;=1,$AN$60,IF($B$62&gt;=1,$AN$62,$AN$49)))</f>
        <v>2008 Q3</v>
      </c>
      <c r="AO64" t="str">
        <f ca="1">IF($B$58&gt;=1,$AO$58,IF($B$60&gt;=1,$AO$60,IF($B$62&gt;=1,$AO$62,$AO$49)))</f>
        <v>2008 Q2</v>
      </c>
      <c r="AP64" t="str">
        <f ca="1">IF($B$58&gt;=1,$AP$58,IF($B$60&gt;=1,$AP$60,IF($B$62&gt;=1,$AP$62,$AP$49)))</f>
        <v>2008 Q1</v>
      </c>
      <c r="AQ64" t="str">
        <f ca="1">IF($B$58&gt;=1,$AQ$58,IF($B$60&gt;=1,$AQ$60,IF($B$62&gt;=1,$AQ$62,$AQ$49)))</f>
        <v>2007 Q4</v>
      </c>
      <c r="AR64" t="str">
        <f ca="1">IF($B$58&gt;=1,$AR$58,IF($B$60&gt;=1,$AR$60,IF($B$62&gt;=1,$AR$62,$AR$49)))</f>
        <v>2007 Q3</v>
      </c>
      <c r="AS64" t="str">
        <f ca="1">IF($B$58&gt;=1,$AS$58,IF($B$60&gt;=1,$AS$60,IF($B$62&gt;=1,$AS$62,$AS$49)))</f>
        <v>2007 Q2</v>
      </c>
      <c r="AT64" t="str">
        <f ca="1">IF($B$58&gt;=1,$AT$58,IF($B$60&gt;=1,$AT$60,IF($B$62&gt;=1,$AT$62,$AT$49)))</f>
        <v>2007 Q1</v>
      </c>
      <c r="AU64" t="str">
        <f ca="1">IF($B$58&gt;=1,$AU$58,IF($B$60&gt;=1,$AU$60,IF($B$62&gt;=1,$AU$62,$AU$49)))</f>
        <v>2006 Q4</v>
      </c>
      <c r="AV64" t="str">
        <f ca="1">IF($B$58&gt;=1,$AV$58,IF($B$60&gt;=1,$AV$60,IF($B$62&gt;=1,$AV$62,$AV$49)))</f>
        <v>2006 Q3</v>
      </c>
      <c r="AW64" t="str">
        <f ca="1">IF($B$58&gt;=1,$AW$58,IF($B$60&gt;=1,$AW$60,IF($B$62&gt;=1,$AW$62,$AW$49)))</f>
        <v>2006 Q2</v>
      </c>
      <c r="AX64" t="str">
        <f ca="1">IF($B$58&gt;=1,$AX$58,IF($B$60&gt;=1,$AX$60,IF($B$62&gt;=1,$AX$62,$AX$49)))</f>
        <v>2006 Q1</v>
      </c>
      <c r="AY64" t="str">
        <f ca="1">IF($B$58&gt;=1,$AY$58,IF($B$60&gt;=1,$AY$60,IF($B$62&gt;=1,$AY$62,$AY$49)))</f>
        <v>2005 Q4</v>
      </c>
      <c r="AZ64" t="str">
        <f ca="1">IF($B$58&gt;=1,$AZ$58,IF($B$60&gt;=1,$AZ$60,IF($B$62&gt;=1,$AZ$62,$AZ$49)))</f>
        <v>2005 Q3</v>
      </c>
      <c r="BA64" t="str">
        <f ca="1">IF($B$58&gt;=1,$BA$58,IF($B$60&gt;=1,$BA$60,IF($B$62&gt;=1,$BA$62,$BA$49)))</f>
        <v>2005 Q2</v>
      </c>
      <c r="BB64" t="str">
        <f ca="1">IF($B$58&gt;=1,$BB$58,IF($B$60&gt;=1,$BB$60,IF($B$62&gt;=1,$BB$62,$BB$49)))</f>
        <v>2005 Q1</v>
      </c>
      <c r="BC64" t="str">
        <f ca="1">IF($B$58&gt;=1,$BC$58,IF($B$60&gt;=1,$BC$60,IF($B$62&gt;=1,$BC$62,$BC$49)))</f>
        <v>2004 Q4</v>
      </c>
      <c r="BD64" t="str">
        <f ca="1">IF($B$58&gt;=1,$BD$58,IF($B$60&gt;=1,$BD$60,IF($B$62&gt;=1,$BD$62,$BD$49)))</f>
        <v>2004 Q3</v>
      </c>
      <c r="BE64" t="str">
        <f ca="1">IF($B$58&gt;=1,$BE$58,IF($B$60&gt;=1,$BE$60,IF($B$62&gt;=1,$BE$62,$BE$49)))</f>
        <v>2004 Q2</v>
      </c>
      <c r="BF64" t="str">
        <f ca="1">IF($B$58&gt;=1,$BF$58,IF($B$60&gt;=1,$BF$60,IF($B$62&gt;=1,$BF$62,$BF$49)))</f>
        <v>2004 Q1</v>
      </c>
      <c r="BG64" t="str">
        <f ca="1">IF($B$58&gt;=1,$BG$58,IF($B$60&gt;=1,$BG$60,IF($B$62&gt;=1,$BG$62,$BG$49)))</f>
        <v>2003 Q4</v>
      </c>
      <c r="BH64" t="str">
        <f ca="1">IF($B$58&gt;=1,$BH$58,IF($B$60&gt;=1,$BH$60,IF($B$62&gt;=1,$BH$62,$BH$49)))</f>
        <v>2003 Q3</v>
      </c>
      <c r="BI64" t="str">
        <f ca="1">IF($B$58&gt;=1,$BI$58,IF($B$60&gt;=1,$BI$60,IF($B$62&gt;=1,$BI$62,$BI$49)))</f>
        <v>2003 Q2</v>
      </c>
      <c r="BJ64" t="str">
        <f ca="1">IF($B$58&gt;=1,$BJ$58,IF($B$60&gt;=1,$BJ$60,IF($B$62&gt;=1,$BJ$62,$BJ$49)))</f>
        <v>2003 Q1</v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>
      <c r="A65" t="str">
        <f>"BDH dynamic title"</f>
        <v>BDH dynamic title</v>
      </c>
      <c r="B65">
        <f ca="1">$B$64</f>
        <v>2</v>
      </c>
      <c r="C65" t="str">
        <f ca="1">IF(LEN($C$64)&lt;&gt;8,$C$64,RIGHT($C$64,4)&amp;" "&amp;MID($C$64,3,1)&amp;LEFT($C$64,1))</f>
        <v>2017 Q4</v>
      </c>
      <c r="D65" t="str">
        <f ca="1">IF(LEN($D$64)&lt;&gt;8,$D$64,RIGHT($D$64,4)&amp;" "&amp;MID($D$64,3,1)&amp;LEFT($D$64,1))</f>
        <v>2017 Q3</v>
      </c>
      <c r="E65" t="str">
        <f ca="1">IF(LEN($E$64)&lt;&gt;8,$E$64,RIGHT($E$64,4)&amp;" "&amp;MID($E$64,3,1)&amp;LEFT($E$64,1))</f>
        <v>2017 Q2</v>
      </c>
      <c r="F65" t="str">
        <f ca="1">IF(LEN($F$64)&lt;&gt;8,$F$64,RIGHT($F$64,4)&amp;" "&amp;MID($F$64,3,1)&amp;LEFT($F$64,1))</f>
        <v>2017 Q1</v>
      </c>
      <c r="G65" t="str">
        <f ca="1">IF(LEN($G$64)&lt;&gt;8,$G$64,RIGHT($G$64,4)&amp;" "&amp;MID($G$64,3,1)&amp;LEFT($G$64,1))</f>
        <v>2016 Q4</v>
      </c>
      <c r="H65" t="str">
        <f ca="1">IF(LEN($H$64)&lt;&gt;8,$H$64,RIGHT($H$64,4)&amp;" "&amp;MID($H$64,3,1)&amp;LEFT($H$64,1))</f>
        <v>2016 Q3</v>
      </c>
      <c r="I65" t="str">
        <f ca="1">IF(LEN($I$64)&lt;&gt;8,$I$64,RIGHT($I$64,4)&amp;" "&amp;MID($I$64,3,1)&amp;LEFT($I$64,1))</f>
        <v>2016 Q2</v>
      </c>
      <c r="J65" t="str">
        <f ca="1">IF(LEN($J$64)&lt;&gt;8,$J$64,RIGHT($J$64,4)&amp;" "&amp;MID($J$64,3,1)&amp;LEFT($J$64,1))</f>
        <v>2016 Q1</v>
      </c>
      <c r="K65" t="str">
        <f ca="1">IF(LEN($K$64)&lt;&gt;8,$K$64,RIGHT($K$64,4)&amp;" "&amp;MID($K$64,3,1)&amp;LEFT($K$64,1))</f>
        <v>2015 Q4</v>
      </c>
      <c r="L65" t="str">
        <f ca="1">IF(LEN($L$64)&lt;&gt;8,$L$64,RIGHT($L$64,4)&amp;" "&amp;MID($L$64,3,1)&amp;LEFT($L$64,1))</f>
        <v>2015 Q3</v>
      </c>
      <c r="M65" t="str">
        <f ca="1">IF(LEN($M$64)&lt;&gt;8,$M$64,RIGHT($M$64,4)&amp;" "&amp;MID($M$64,3,1)&amp;LEFT($M$64,1))</f>
        <v>2015 Q2</v>
      </c>
      <c r="N65" t="str">
        <f ca="1">IF(LEN($N$64)&lt;&gt;8,$N$64,RIGHT($N$64,4)&amp;" "&amp;MID($N$64,3,1)&amp;LEFT($N$64,1))</f>
        <v>2015 Q1</v>
      </c>
      <c r="O65" t="str">
        <f ca="1">IF(LEN($O$64)&lt;&gt;8,$O$64,RIGHT($O$64,4)&amp;" "&amp;MID($O$64,3,1)&amp;LEFT($O$64,1))</f>
        <v>2014 Q4</v>
      </c>
      <c r="P65" t="str">
        <f ca="1">IF(LEN($P$64)&lt;&gt;8,$P$64,RIGHT($P$64,4)&amp;" "&amp;MID($P$64,3,1)&amp;LEFT($P$64,1))</f>
        <v>2014 Q3</v>
      </c>
      <c r="Q65" t="str">
        <f ca="1">IF(LEN($Q$64)&lt;&gt;8,$Q$64,RIGHT($Q$64,4)&amp;" "&amp;MID($Q$64,3,1)&amp;LEFT($Q$64,1))</f>
        <v>2014 Q2</v>
      </c>
      <c r="R65" t="str">
        <f ca="1">IF(LEN($R$64)&lt;&gt;8,$R$64,RIGHT($R$64,4)&amp;" "&amp;MID($R$64,3,1)&amp;LEFT($R$64,1))</f>
        <v>2014 Q1</v>
      </c>
      <c r="S65" t="str">
        <f ca="1">IF(LEN($S$64)&lt;&gt;8,$S$64,RIGHT($S$64,4)&amp;" "&amp;MID($S$64,3,1)&amp;LEFT($S$64,1))</f>
        <v>2013 Q4</v>
      </c>
      <c r="T65" t="str">
        <f ca="1">IF(LEN($T$64)&lt;&gt;8,$T$64,RIGHT($T$64,4)&amp;" "&amp;MID($T$64,3,1)&amp;LEFT($T$64,1))</f>
        <v>2013 Q3</v>
      </c>
      <c r="U65" t="str">
        <f ca="1">IF(LEN($U$64)&lt;&gt;8,$U$64,RIGHT($U$64,4)&amp;" "&amp;MID($U$64,3,1)&amp;LEFT($U$64,1))</f>
        <v>2013 Q2</v>
      </c>
      <c r="V65" t="str">
        <f ca="1">IF(LEN($V$64)&lt;&gt;8,$V$64,RIGHT($V$64,4)&amp;" "&amp;MID($V$64,3,1)&amp;LEFT($V$64,1))</f>
        <v>2013 Q1</v>
      </c>
      <c r="W65" t="str">
        <f ca="1">IF(LEN($W$64)&lt;&gt;8,$W$64,RIGHT($W$64,4)&amp;" "&amp;MID($W$64,3,1)&amp;LEFT($W$64,1))</f>
        <v>2012 Q4</v>
      </c>
      <c r="X65" t="str">
        <f ca="1">IF(LEN($X$64)&lt;&gt;8,$X$64,RIGHT($X$64,4)&amp;" "&amp;MID($X$64,3,1)&amp;LEFT($X$64,1))</f>
        <v>2012 Q3</v>
      </c>
      <c r="Y65" t="str">
        <f ca="1">IF(LEN($Y$64)&lt;&gt;8,$Y$64,RIGHT($Y$64,4)&amp;" "&amp;MID($Y$64,3,1)&amp;LEFT($Y$64,1))</f>
        <v>2012 Q2</v>
      </c>
      <c r="Z65" t="str">
        <f ca="1">IF(LEN($Z$64)&lt;&gt;8,$Z$64,RIGHT($Z$64,4)&amp;" "&amp;MID($Z$64,3,1)&amp;LEFT($Z$64,1))</f>
        <v>2012 Q1</v>
      </c>
      <c r="AA65" t="str">
        <f ca="1">IF(LEN($AA$64)&lt;&gt;8,$AA$64,RIGHT($AA$64,4)&amp;" "&amp;MID($AA$64,3,1)&amp;LEFT($AA$64,1))</f>
        <v>2011 Q4</v>
      </c>
      <c r="AB65" t="str">
        <f ca="1">IF(LEN($AB$64)&lt;&gt;8,$AB$64,RIGHT($AB$64,4)&amp;" "&amp;MID($AB$64,3,1)&amp;LEFT($AB$64,1))</f>
        <v>2011 Q3</v>
      </c>
      <c r="AC65" t="str">
        <f ca="1">IF(LEN($AC$64)&lt;&gt;8,$AC$64,RIGHT($AC$64,4)&amp;" "&amp;MID($AC$64,3,1)&amp;LEFT($AC$64,1))</f>
        <v>2011 Q2</v>
      </c>
      <c r="AD65" t="str">
        <f ca="1">IF(LEN($AD$64)&lt;&gt;8,$AD$64,RIGHT($AD$64,4)&amp;" "&amp;MID($AD$64,3,1)&amp;LEFT($AD$64,1))</f>
        <v>2011 Q1</v>
      </c>
      <c r="AE65" t="str">
        <f ca="1">IF(LEN($AE$64)&lt;&gt;8,$AE$64,RIGHT($AE$64,4)&amp;" "&amp;MID($AE$64,3,1)&amp;LEFT($AE$64,1))</f>
        <v>2010 Q4</v>
      </c>
      <c r="AF65" t="str">
        <f ca="1">IF(LEN($AF$64)&lt;&gt;8,$AF$64,RIGHT($AF$64,4)&amp;" "&amp;MID($AF$64,3,1)&amp;LEFT($AF$64,1))</f>
        <v>2010 Q3</v>
      </c>
      <c r="AG65" t="str">
        <f ca="1">IF(LEN($AG$64)&lt;&gt;8,$AG$64,RIGHT($AG$64,4)&amp;" "&amp;MID($AG$64,3,1)&amp;LEFT($AG$64,1))</f>
        <v>2010 Q2</v>
      </c>
      <c r="AH65" t="str">
        <f ca="1">IF(LEN($AH$64)&lt;&gt;8,$AH$64,RIGHT($AH$64,4)&amp;" "&amp;MID($AH$64,3,1)&amp;LEFT($AH$64,1))</f>
        <v>2010 Q1</v>
      </c>
      <c r="AI65" t="str">
        <f ca="1">IF(LEN($AI$64)&lt;&gt;8,$AI$64,RIGHT($AI$64,4)&amp;" "&amp;MID($AI$64,3,1)&amp;LEFT($AI$64,1))</f>
        <v>2009 Q4</v>
      </c>
      <c r="AJ65" t="str">
        <f ca="1">IF(LEN($AJ$64)&lt;&gt;8,$AJ$64,RIGHT($AJ$64,4)&amp;" "&amp;MID($AJ$64,3,1)&amp;LEFT($AJ$64,1))</f>
        <v>2009 Q3</v>
      </c>
      <c r="AK65" t="str">
        <f ca="1">IF(LEN($AK$64)&lt;&gt;8,$AK$64,RIGHT($AK$64,4)&amp;" "&amp;MID($AK$64,3,1)&amp;LEFT($AK$64,1))</f>
        <v>2009 Q2</v>
      </c>
      <c r="AL65" t="str">
        <f ca="1">IF(LEN($AL$64)&lt;&gt;8,$AL$64,RIGHT($AL$64,4)&amp;" "&amp;MID($AL$64,3,1)&amp;LEFT($AL$64,1))</f>
        <v>2009 Q1</v>
      </c>
      <c r="AM65" t="str">
        <f ca="1">IF(LEN($AM$64)&lt;&gt;8,$AM$64,RIGHT($AM$64,4)&amp;" "&amp;MID($AM$64,3,1)&amp;LEFT($AM$64,1))</f>
        <v>2008 Q4</v>
      </c>
      <c r="AN65" t="str">
        <f ca="1">IF(LEN($AN$64)&lt;&gt;8,$AN$64,RIGHT($AN$64,4)&amp;" "&amp;MID($AN$64,3,1)&amp;LEFT($AN$64,1))</f>
        <v>2008 Q3</v>
      </c>
      <c r="AO65" t="str">
        <f ca="1">IF(LEN($AO$64)&lt;&gt;8,$AO$64,RIGHT($AO$64,4)&amp;" "&amp;MID($AO$64,3,1)&amp;LEFT($AO$64,1))</f>
        <v>2008 Q2</v>
      </c>
      <c r="AP65" t="str">
        <f ca="1">IF(LEN($AP$64)&lt;&gt;8,$AP$64,RIGHT($AP$64,4)&amp;" "&amp;MID($AP$64,3,1)&amp;LEFT($AP$64,1))</f>
        <v>2008 Q1</v>
      </c>
      <c r="AQ65" t="str">
        <f ca="1">IF(LEN($AQ$64)&lt;&gt;8,$AQ$64,RIGHT($AQ$64,4)&amp;" "&amp;MID($AQ$64,3,1)&amp;LEFT($AQ$64,1))</f>
        <v>2007 Q4</v>
      </c>
      <c r="AR65" t="str">
        <f ca="1">IF(LEN($AR$64)&lt;&gt;8,$AR$64,RIGHT($AR$64,4)&amp;" "&amp;MID($AR$64,3,1)&amp;LEFT($AR$64,1))</f>
        <v>2007 Q3</v>
      </c>
      <c r="AS65" t="str">
        <f ca="1">IF(LEN($AS$64)&lt;&gt;8,$AS$64,RIGHT($AS$64,4)&amp;" "&amp;MID($AS$64,3,1)&amp;LEFT($AS$64,1))</f>
        <v>2007 Q2</v>
      </c>
      <c r="AT65" t="str">
        <f ca="1">IF(LEN($AT$64)&lt;&gt;8,$AT$64,RIGHT($AT$64,4)&amp;" "&amp;MID($AT$64,3,1)&amp;LEFT($AT$64,1))</f>
        <v>2007 Q1</v>
      </c>
      <c r="AU65" t="str">
        <f ca="1">IF(LEN($AU$64)&lt;&gt;8,$AU$64,RIGHT($AU$64,4)&amp;" "&amp;MID($AU$64,3,1)&amp;LEFT($AU$64,1))</f>
        <v>2006 Q4</v>
      </c>
      <c r="AV65" t="str">
        <f ca="1">IF(LEN($AV$64)&lt;&gt;8,$AV$64,RIGHT($AV$64,4)&amp;" "&amp;MID($AV$64,3,1)&amp;LEFT($AV$64,1))</f>
        <v>2006 Q3</v>
      </c>
      <c r="AW65" t="str">
        <f ca="1">IF(LEN($AW$64)&lt;&gt;8,$AW$64,RIGHT($AW$64,4)&amp;" "&amp;MID($AW$64,3,1)&amp;LEFT($AW$64,1))</f>
        <v>2006 Q2</v>
      </c>
      <c r="AX65" t="str">
        <f ca="1">IF(LEN($AX$64)&lt;&gt;8,$AX$64,RIGHT($AX$64,4)&amp;" "&amp;MID($AX$64,3,1)&amp;LEFT($AX$64,1))</f>
        <v>2006 Q1</v>
      </c>
      <c r="AY65" t="str">
        <f ca="1">IF(LEN($AY$64)&lt;&gt;8,$AY$64,RIGHT($AY$64,4)&amp;" "&amp;MID($AY$64,3,1)&amp;LEFT($AY$64,1))</f>
        <v>2005 Q4</v>
      </c>
      <c r="AZ65" t="str">
        <f ca="1">IF(LEN($AZ$64)&lt;&gt;8,$AZ$64,RIGHT($AZ$64,4)&amp;" "&amp;MID($AZ$64,3,1)&amp;LEFT($AZ$64,1))</f>
        <v>2005 Q3</v>
      </c>
      <c r="BA65" t="str">
        <f ca="1">IF(LEN($BA$64)&lt;&gt;8,$BA$64,RIGHT($BA$64,4)&amp;" "&amp;MID($BA$64,3,1)&amp;LEFT($BA$64,1))</f>
        <v>2005 Q2</v>
      </c>
      <c r="BB65" t="str">
        <f ca="1">IF(LEN($BB$64)&lt;&gt;8,$BB$64,RIGHT($BB$64,4)&amp;" "&amp;MID($BB$64,3,1)&amp;LEFT($BB$64,1))</f>
        <v>2005 Q1</v>
      </c>
      <c r="BC65" t="str">
        <f ca="1">IF(LEN($BC$64)&lt;&gt;8,$BC$64,RIGHT($BC$64,4)&amp;" "&amp;MID($BC$64,3,1)&amp;LEFT($BC$64,1))</f>
        <v>2004 Q4</v>
      </c>
      <c r="BD65" t="str">
        <f ca="1">IF(LEN($BD$64)&lt;&gt;8,$BD$64,RIGHT($BD$64,4)&amp;" "&amp;MID($BD$64,3,1)&amp;LEFT($BD$64,1))</f>
        <v>2004 Q3</v>
      </c>
      <c r="BE65" t="str">
        <f ca="1">IF(LEN($BE$64)&lt;&gt;8,$BE$64,RIGHT($BE$64,4)&amp;" "&amp;MID($BE$64,3,1)&amp;LEFT($BE$64,1))</f>
        <v>2004 Q2</v>
      </c>
      <c r="BF65" t="str">
        <f ca="1">IF(LEN($BF$64)&lt;&gt;8,$BF$64,RIGHT($BF$64,4)&amp;" "&amp;MID($BF$64,3,1)&amp;LEFT($BF$64,1))</f>
        <v>2004 Q1</v>
      </c>
      <c r="BG65" t="str">
        <f ca="1">IF(LEN($BG$64)&lt;&gt;8,$BG$64,RIGHT($BG$64,4)&amp;" "&amp;MID($BG$64,3,1)&amp;LEFT($BG$64,1))</f>
        <v>2003 Q4</v>
      </c>
      <c r="BH65" t="str">
        <f ca="1">IF(LEN($BH$64)&lt;&gt;8,$BH$64,RIGHT($BH$64,4)&amp;" "&amp;MID($BH$64,3,1)&amp;LEFT($BH$64,1))</f>
        <v>2003 Q3</v>
      </c>
      <c r="BI65" t="str">
        <f ca="1">IF(LEN($BI$64)&lt;&gt;8,$BI$64,RIGHT($BI$64,4)&amp;" "&amp;MID($BI$64,3,1)&amp;LEFT($BI$64,1))</f>
        <v>2003 Q2</v>
      </c>
      <c r="BJ65" t="str">
        <f ca="1">IF(LEN($BJ$64)&lt;&gt;8,$BJ$64,RIGHT($BJ$64,4)&amp;" "&amp;MID($BJ$64,3,1)&amp;LEFT($BJ$64,1))</f>
        <v>2003 Q1</v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  <c r="CH65" t="str">
        <f>""</f>
        <v/>
      </c>
      <c r="CI65" t="str">
        <f>""</f>
        <v/>
      </c>
      <c r="CJ65" t="str">
        <f>""</f>
        <v/>
      </c>
      <c r="CK65" t="str">
        <f>""</f>
        <v/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</row>
    <row r="66" spans="1:125">
      <c r="A66" t="str">
        <f>"No error found"</f>
        <v>No error found</v>
      </c>
      <c r="B66" t="str">
        <f>""</f>
        <v/>
      </c>
      <c r="C66" t="str">
        <f>""</f>
        <v/>
      </c>
      <c r="D66" t="str">
        <f>""</f>
        <v/>
      </c>
      <c r="E66" t="str">
        <f>""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2018-03-14T02:54:41Z</dcterms:modified>
</cp:coreProperties>
</file>