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68" i="3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D68"/>
  <c r="C68"/>
  <c r="B68"/>
  <c r="A68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A67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A66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A65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A64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A63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A62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A6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A60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A59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A57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A56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A55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A54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A53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A52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E50"/>
  <c r="D50"/>
  <c r="C50"/>
  <c r="B50"/>
  <c r="A50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E49"/>
  <c r="D49"/>
  <c r="C49"/>
  <c r="B49"/>
  <c r="A49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D48"/>
  <c r="C48"/>
  <c r="A48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D47"/>
  <c r="C47"/>
  <c r="B47"/>
  <c r="A47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A46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D45"/>
  <c r="C45"/>
  <c r="B45"/>
  <c r="A45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D44"/>
  <c r="C44"/>
  <c r="B44"/>
  <c r="A44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D43"/>
  <c r="C43"/>
  <c r="B43"/>
  <c r="A43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D42"/>
  <c r="C42"/>
  <c r="B42"/>
  <c r="A42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D41"/>
  <c r="C41"/>
  <c r="B41"/>
  <c r="A4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D40"/>
  <c r="C40"/>
  <c r="B40"/>
  <c r="A40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A39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C36"/>
  <c r="B36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E33"/>
  <c r="D33"/>
  <c r="C33"/>
  <c r="B33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D32"/>
  <c r="C32"/>
  <c r="B32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D31"/>
  <c r="C31"/>
  <c r="B3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A29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28"/>
  <c r="B48" s="1"/>
  <c r="A28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A27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26"/>
  <c r="A26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C25"/>
  <c r="B25"/>
  <c r="A25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24"/>
  <c r="A24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A22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E13" i="2" s="1"/>
  <c r="B13" i="3"/>
  <c r="A13"/>
  <c r="A13" i="2" s="1"/>
  <c r="DU12" i="3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39" s="1"/>
  <c r="D12"/>
  <c r="C12"/>
  <c r="C12" i="2" s="1"/>
  <c r="B12" i="3"/>
  <c r="B39" s="1"/>
  <c r="A12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B11"/>
  <c r="A1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10" i="2" s="1"/>
  <c r="B10" i="3"/>
  <c r="B10" i="2" s="1"/>
  <c r="A10" i="3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9" i="2" s="1"/>
  <c r="B9" i="3"/>
  <c r="A9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38" s="1"/>
  <c r="D8"/>
  <c r="D38" s="1"/>
  <c r="C8"/>
  <c r="C38" s="1"/>
  <c r="B8"/>
  <c r="B38" s="1"/>
  <c r="A8"/>
  <c r="A38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37" s="1"/>
  <c r="D7"/>
  <c r="D37" s="1"/>
  <c r="C7"/>
  <c r="C37" s="1"/>
  <c r="B7"/>
  <c r="B37" s="1"/>
  <c r="A7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36" s="1"/>
  <c r="D6"/>
  <c r="D36" s="1"/>
  <c r="C6"/>
  <c r="B6"/>
  <c r="B6" i="2" s="1"/>
  <c r="A6" i="3"/>
  <c r="A36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35" s="1"/>
  <c r="D5"/>
  <c r="D35" s="1"/>
  <c r="C5"/>
  <c r="B5"/>
  <c r="A5"/>
  <c r="A35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E34" s="1"/>
  <c r="D4"/>
  <c r="D4" i="2" s="1"/>
  <c r="C4" i="3"/>
  <c r="B4"/>
  <c r="B34" s="1"/>
  <c r="A4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E3" i="2" s="1"/>
  <c r="B3" i="3"/>
  <c r="B3" i="2" s="1"/>
  <c r="A3" i="3"/>
  <c r="A3" i="2" s="1"/>
  <c r="E2" i="3"/>
  <c r="D2"/>
  <c r="D2" i="2" s="1"/>
  <c r="C2" i="3"/>
  <c r="C2" i="2" s="1"/>
  <c r="B2" i="3"/>
  <c r="A2"/>
  <c r="A2" i="2" s="1"/>
  <c r="D13"/>
  <c r="C13"/>
  <c r="B13"/>
  <c r="B12"/>
  <c r="A12"/>
  <c r="E11"/>
  <c r="D11"/>
  <c r="C11"/>
  <c r="B11"/>
  <c r="A11"/>
  <c r="D10"/>
  <c r="C10"/>
  <c r="A10"/>
  <c r="D9"/>
  <c r="C9"/>
  <c r="B9"/>
  <c r="A9"/>
  <c r="E8"/>
  <c r="D8"/>
  <c r="C8"/>
  <c r="B8"/>
  <c r="A8"/>
  <c r="E7"/>
  <c r="D7"/>
  <c r="C7"/>
  <c r="B7"/>
  <c r="C6"/>
  <c r="A6"/>
  <c r="E5"/>
  <c r="D5"/>
  <c r="A5"/>
  <c r="E4"/>
  <c r="B4"/>
  <c r="D3"/>
  <c r="C3"/>
  <c r="E2"/>
  <c r="B2"/>
  <c r="A23" i="3"/>
  <c r="C39" l="1"/>
  <c r="A7" i="2"/>
  <c r="A37" i="3"/>
  <c r="A34"/>
  <c r="A4" i="2"/>
  <c r="D12"/>
  <c r="D39" i="3"/>
  <c r="C5" i="2"/>
  <c r="C35" i="3"/>
  <c r="C34"/>
  <c r="C4" i="2"/>
  <c r="E12"/>
  <c r="B35" i="3"/>
  <c r="B5" i="2"/>
  <c r="E6"/>
  <c r="D6"/>
  <c r="B27" i="3"/>
  <c r="C27"/>
  <c r="D34"/>
  <c r="F32"/>
  <c r="F38"/>
  <c r="F35"/>
  <c r="F37"/>
  <c r="F34"/>
  <c r="C54"/>
  <c r="C62"/>
  <c r="C52"/>
  <c r="C56"/>
  <c r="C60"/>
  <c r="C64"/>
  <c r="F36"/>
  <c r="F31"/>
  <c r="F33"/>
  <c r="F39"/>
  <c r="B64" l="1"/>
  <c r="B60"/>
  <c r="B56"/>
  <c r="B52"/>
  <c r="B62"/>
  <c r="B54"/>
  <c r="BC66" l="1"/>
  <c r="BC67" s="1"/>
  <c r="AU66"/>
  <c r="AU67" s="1"/>
  <c r="AM66"/>
  <c r="AM67" s="1"/>
  <c r="AE66"/>
  <c r="AE67" s="1"/>
  <c r="W66"/>
  <c r="W67" s="1"/>
  <c r="O66"/>
  <c r="O67" s="1"/>
  <c r="G66"/>
  <c r="G67" s="1"/>
  <c r="BD66"/>
  <c r="BD67" s="1"/>
  <c r="AV66"/>
  <c r="AV67" s="1"/>
  <c r="AN66"/>
  <c r="AN67" s="1"/>
  <c r="AF66"/>
  <c r="AF67" s="1"/>
  <c r="X66"/>
  <c r="X67" s="1"/>
  <c r="P66"/>
  <c r="P67" s="1"/>
  <c r="H66"/>
  <c r="H67" s="1"/>
  <c r="BJ66"/>
  <c r="BJ67" s="1"/>
  <c r="AZ66"/>
  <c r="AZ67" s="1"/>
  <c r="AP66"/>
  <c r="AP67" s="1"/>
  <c r="AD66"/>
  <c r="AD67" s="1"/>
  <c r="T66"/>
  <c r="T67" s="1"/>
  <c r="J66"/>
  <c r="J67" s="1"/>
  <c r="BA66"/>
  <c r="BA67" s="1"/>
  <c r="AQ66"/>
  <c r="AQ67" s="1"/>
  <c r="AG66"/>
  <c r="AG67" s="1"/>
  <c r="U66"/>
  <c r="U67" s="1"/>
  <c r="K66"/>
  <c r="K67" s="1"/>
  <c r="BB66"/>
  <c r="BB67" s="1"/>
  <c r="AR66"/>
  <c r="AR67" s="1"/>
  <c r="AH66"/>
  <c r="AH67" s="1"/>
  <c r="V66"/>
  <c r="V67" s="1"/>
  <c r="L66"/>
  <c r="L67" s="1"/>
  <c r="B66"/>
  <c r="B67" s="1"/>
  <c r="BE66"/>
  <c r="BE67" s="1"/>
  <c r="AS66"/>
  <c r="AS67" s="1"/>
  <c r="AI66"/>
  <c r="AI67" s="1"/>
  <c r="Y66"/>
  <c r="Y67" s="1"/>
  <c r="M66"/>
  <c r="M67" s="1"/>
  <c r="C66"/>
  <c r="C67" s="1"/>
  <c r="BF66"/>
  <c r="BF67" s="1"/>
  <c r="AT66"/>
  <c r="AT67" s="1"/>
  <c r="AJ66"/>
  <c r="AJ67" s="1"/>
  <c r="Z66"/>
  <c r="Z67" s="1"/>
  <c r="N66"/>
  <c r="N67" s="1"/>
  <c r="D66"/>
  <c r="D67" s="1"/>
  <c r="AX66"/>
  <c r="AX67" s="1"/>
  <c r="S66"/>
  <c r="S67" s="1"/>
  <c r="AW66"/>
  <c r="AW67" s="1"/>
  <c r="AY66"/>
  <c r="AY67" s="1"/>
  <c r="AA66"/>
  <c r="AA67" s="1"/>
  <c r="BG66"/>
  <c r="BG67" s="1"/>
  <c r="AB66"/>
  <c r="AB67" s="1"/>
  <c r="I66"/>
  <c r="I67" s="1"/>
  <c r="Q66"/>
  <c r="Q67" s="1"/>
  <c r="R66"/>
  <c r="R67" s="1"/>
  <c r="BH66"/>
  <c r="BH67" s="1"/>
  <c r="AC66"/>
  <c r="AC67" s="1"/>
  <c r="E66"/>
  <c r="E67" s="1"/>
  <c r="BI66"/>
  <c r="BI67" s="1"/>
  <c r="AK66"/>
  <c r="AK67" s="1"/>
  <c r="F66"/>
  <c r="F67" s="1"/>
  <c r="AL66"/>
  <c r="AL67" s="1"/>
  <c r="AO66"/>
  <c r="AO67" s="1"/>
  <c r="BC58"/>
  <c r="BC59" s="1"/>
  <c r="AU58"/>
  <c r="AU59" s="1"/>
  <c r="AM58"/>
  <c r="AM59" s="1"/>
  <c r="AE58"/>
  <c r="AE59" s="1"/>
  <c r="W58"/>
  <c r="W59" s="1"/>
  <c r="O58"/>
  <c r="O59" s="1"/>
  <c r="G58"/>
  <c r="G59" s="1"/>
  <c r="BD58"/>
  <c r="BD59" s="1"/>
  <c r="AV58"/>
  <c r="AV59" s="1"/>
  <c r="AN58"/>
  <c r="AN59" s="1"/>
  <c r="AF58"/>
  <c r="AF59" s="1"/>
  <c r="X58"/>
  <c r="X59" s="1"/>
  <c r="P58"/>
  <c r="P59" s="1"/>
  <c r="H58"/>
  <c r="H59" s="1"/>
  <c r="BJ58"/>
  <c r="BJ59" s="1"/>
  <c r="AZ58"/>
  <c r="AZ59" s="1"/>
  <c r="AP58"/>
  <c r="AP59" s="1"/>
  <c r="AD58"/>
  <c r="AD59" s="1"/>
  <c r="T58"/>
  <c r="T59" s="1"/>
  <c r="J58"/>
  <c r="J59" s="1"/>
  <c r="BA58"/>
  <c r="BA59" s="1"/>
  <c r="AQ58"/>
  <c r="AQ59" s="1"/>
  <c r="AG58"/>
  <c r="AG59" s="1"/>
  <c r="U58"/>
  <c r="U59" s="1"/>
  <c r="K58"/>
  <c r="K59" s="1"/>
  <c r="BB58"/>
  <c r="BB59" s="1"/>
  <c r="AR58"/>
  <c r="AR59" s="1"/>
  <c r="AH58"/>
  <c r="AH59" s="1"/>
  <c r="V58"/>
  <c r="V59" s="1"/>
  <c r="L58"/>
  <c r="L59" s="1"/>
  <c r="B58"/>
  <c r="B59" s="1"/>
  <c r="B29" s="1"/>
  <c r="BE58"/>
  <c r="BE59" s="1"/>
  <c r="AS58"/>
  <c r="AS59" s="1"/>
  <c r="AI58"/>
  <c r="AI59" s="1"/>
  <c r="Y58"/>
  <c r="Y59" s="1"/>
  <c r="M58"/>
  <c r="M59" s="1"/>
  <c r="C58"/>
  <c r="C59" s="1"/>
  <c r="BF58"/>
  <c r="BF59" s="1"/>
  <c r="AT58"/>
  <c r="AT59" s="1"/>
  <c r="AJ58"/>
  <c r="AJ59" s="1"/>
  <c r="Z58"/>
  <c r="Z59" s="1"/>
  <c r="N58"/>
  <c r="N59" s="1"/>
  <c r="D58"/>
  <c r="D59" s="1"/>
  <c r="BI58"/>
  <c r="BI59" s="1"/>
  <c r="AK58"/>
  <c r="AK59" s="1"/>
  <c r="F58"/>
  <c r="F59" s="1"/>
  <c r="AA58"/>
  <c r="AA59" s="1"/>
  <c r="BG58"/>
  <c r="BG59" s="1"/>
  <c r="AB58"/>
  <c r="AB59" s="1"/>
  <c r="BH58"/>
  <c r="BH59" s="1"/>
  <c r="AC58"/>
  <c r="AC59" s="1"/>
  <c r="AL58"/>
  <c r="AL59" s="1"/>
  <c r="I58"/>
  <c r="I59" s="1"/>
  <c r="AO58"/>
  <c r="AO59" s="1"/>
  <c r="Q58"/>
  <c r="Q59" s="1"/>
  <c r="E58"/>
  <c r="E59" s="1"/>
  <c r="AW58"/>
  <c r="AW59" s="1"/>
  <c r="R58"/>
  <c r="R59" s="1"/>
  <c r="AX58"/>
  <c r="AX59" s="1"/>
  <c r="S58"/>
  <c r="S59" s="1"/>
  <c r="AY58"/>
  <c r="AY59" s="1"/>
  <c r="CB2" l="1"/>
  <c r="T2"/>
  <c r="CD2"/>
  <c r="V2"/>
  <c r="AO2"/>
  <c r="CW2"/>
  <c r="DT2"/>
  <c r="BL2"/>
  <c r="P2"/>
  <c r="BX2"/>
  <c r="CS2"/>
  <c r="AK2"/>
  <c r="M2"/>
  <c r="BU2"/>
  <c r="CI2"/>
  <c r="AA2"/>
  <c r="AH2"/>
  <c r="CP2"/>
  <c r="DJ2"/>
  <c r="BB2"/>
  <c r="BT2"/>
  <c r="L2"/>
  <c r="CV2"/>
  <c r="AN2"/>
  <c r="BN2"/>
  <c r="F2"/>
  <c r="Y2"/>
  <c r="CG2"/>
  <c r="DL2"/>
  <c r="BD2"/>
  <c r="CA2"/>
  <c r="S2"/>
  <c r="Z2"/>
  <c r="CH2"/>
  <c r="AR2"/>
  <c r="CZ2"/>
  <c r="BQ2"/>
  <c r="I2"/>
  <c r="BI2"/>
  <c r="DQ2"/>
  <c r="O2"/>
  <c r="BW2"/>
  <c r="DB2"/>
  <c r="AT2"/>
  <c r="BS2"/>
  <c r="K2"/>
  <c r="R2"/>
  <c r="BZ2"/>
  <c r="CL2"/>
  <c r="AD2"/>
  <c r="CR2"/>
  <c r="AJ2"/>
  <c r="J2"/>
  <c r="BR2"/>
  <c r="H2"/>
  <c r="BP2"/>
  <c r="CU2"/>
  <c r="AM2"/>
  <c r="X2"/>
  <c r="CF2"/>
  <c r="DO2"/>
  <c r="BG2"/>
  <c r="AZ2"/>
  <c r="DH2"/>
  <c r="CK2"/>
  <c r="AC2"/>
  <c r="BV2"/>
  <c r="N2"/>
  <c r="AY2"/>
  <c r="DG2"/>
  <c r="CC2"/>
  <c r="U2"/>
  <c r="Q2"/>
  <c r="BY2"/>
  <c r="DM2"/>
  <c r="BE2"/>
  <c r="AQ2"/>
  <c r="CY2"/>
  <c r="AX2"/>
  <c r="DF2"/>
  <c r="DE2"/>
  <c r="AW2"/>
  <c r="DU2"/>
  <c r="BM2"/>
  <c r="DR2"/>
  <c r="BJ2"/>
  <c r="BH2"/>
  <c r="DP2"/>
  <c r="DK2"/>
  <c r="BC2"/>
  <c r="CM2"/>
  <c r="AE2"/>
  <c r="DD2"/>
  <c r="AV2"/>
  <c r="DA2"/>
  <c r="AS2"/>
  <c r="BF2"/>
  <c r="DN2"/>
  <c r="BK2"/>
  <c r="DS2"/>
  <c r="CT2"/>
  <c r="AL2"/>
  <c r="AG2"/>
  <c r="CO2"/>
  <c r="BA2"/>
  <c r="DI2"/>
  <c r="AF2"/>
  <c r="CN2"/>
  <c r="G2"/>
  <c r="BO2"/>
  <c r="CJ2"/>
  <c r="AB2"/>
  <c r="DC2"/>
  <c r="AU2"/>
  <c r="W2"/>
  <c r="CE2"/>
  <c r="AI2"/>
  <c r="CQ2"/>
  <c r="AP2"/>
  <c r="CX2"/>
  <c r="BL13"/>
  <c r="BL3"/>
  <c r="AA3"/>
  <c r="AA13"/>
  <c r="AN13"/>
  <c r="AN3"/>
  <c r="S13"/>
  <c r="S3"/>
  <c r="U3"/>
  <c r="U13"/>
  <c r="BM13"/>
  <c r="BM3"/>
  <c r="AE13"/>
  <c r="AE3"/>
  <c r="BK13"/>
  <c r="BK3"/>
  <c r="W13"/>
  <c r="W3"/>
  <c r="BA3"/>
  <c r="BA13"/>
  <c r="BB3"/>
  <c r="BB13"/>
  <c r="AJ3"/>
  <c r="AJ13"/>
  <c r="AB13"/>
  <c r="AB3"/>
  <c r="AC3"/>
  <c r="AC13"/>
  <c r="AV3"/>
  <c r="AV13"/>
  <c r="P3"/>
  <c r="P13"/>
  <c r="AH13"/>
  <c r="AH3"/>
  <c r="Z3"/>
  <c r="Z13"/>
  <c r="O13"/>
  <c r="O3"/>
  <c r="X12"/>
  <c r="U11"/>
  <c r="P10"/>
  <c r="K9"/>
  <c r="BG7"/>
  <c r="BD6"/>
  <c r="BA5"/>
  <c r="AP4"/>
  <c r="AO12"/>
  <c r="AY12"/>
  <c r="AD11"/>
  <c r="O10"/>
  <c r="J9"/>
  <c r="AV7"/>
  <c r="AJ6"/>
  <c r="X5"/>
  <c r="AA10"/>
  <c r="H5"/>
  <c r="P11"/>
  <c r="AZ12"/>
  <c r="AE11"/>
  <c r="Q10"/>
  <c r="BI8"/>
  <c r="AW7"/>
  <c r="AK6"/>
  <c r="Y5"/>
  <c r="N4"/>
  <c r="AX11"/>
  <c r="AJ10"/>
  <c r="M9"/>
  <c r="N7"/>
  <c r="AR5"/>
  <c r="AH11"/>
  <c r="BM8"/>
  <c r="V12"/>
  <c r="F11"/>
  <c r="BH9"/>
  <c r="AS8"/>
  <c r="AG7"/>
  <c r="L6"/>
  <c r="BJ4"/>
  <c r="AZ11"/>
  <c r="AR7"/>
  <c r="AK9"/>
  <c r="AQ6"/>
  <c r="AM10"/>
  <c r="AS4"/>
  <c r="H7"/>
  <c r="L8"/>
  <c r="H9"/>
  <c r="AV5"/>
  <c r="AG10"/>
  <c r="AL7"/>
  <c r="N5"/>
  <c r="H11"/>
  <c r="BD5"/>
  <c r="Z7"/>
  <c r="AM8"/>
  <c r="AO6"/>
  <c r="T8"/>
  <c r="AI11"/>
  <c r="AT7"/>
  <c r="T5"/>
  <c r="V5"/>
  <c r="AV4"/>
  <c r="AU5"/>
  <c r="AK4"/>
  <c r="AS11"/>
  <c r="BM12"/>
  <c r="AQ10"/>
  <c r="BK6"/>
  <c r="W7"/>
  <c r="BG11"/>
  <c r="P8"/>
  <c r="AO4"/>
  <c r="AN9"/>
  <c r="O4"/>
  <c r="N9"/>
  <c r="AA5"/>
  <c r="BF10"/>
  <c r="M6"/>
  <c r="AK12"/>
  <c r="AW8"/>
  <c r="AX8"/>
  <c r="AX10"/>
  <c r="Y9"/>
  <c r="BB7"/>
  <c r="F12"/>
  <c r="BD12"/>
  <c r="AQ9"/>
  <c r="U5"/>
  <c r="G12"/>
  <c r="AG8"/>
  <c r="AN4"/>
  <c r="X9"/>
  <c r="AM9"/>
  <c r="BJ5"/>
  <c r="N11"/>
  <c r="T6"/>
  <c r="AH7"/>
  <c r="W9"/>
  <c r="AJ5"/>
  <c r="Z11"/>
  <c r="AX6"/>
  <c r="AD4"/>
  <c r="Q9"/>
  <c r="R9"/>
  <c r="L4"/>
  <c r="AT9"/>
  <c r="BG8"/>
  <c r="F7"/>
  <c r="BI11"/>
  <c r="AT8"/>
  <c r="AF6"/>
  <c r="Q12"/>
  <c r="BD9"/>
  <c r="AW4"/>
  <c r="AZ9"/>
  <c r="AV9"/>
  <c r="BH4"/>
  <c r="BF9"/>
  <c r="AZ4"/>
  <c r="AY11"/>
  <c r="R8"/>
  <c r="AI4"/>
  <c r="U8"/>
  <c r="J11"/>
  <c r="AB5"/>
  <c r="AR6"/>
  <c r="BM11"/>
  <c r="AL12"/>
  <c r="N10"/>
  <c r="AB9"/>
  <c r="F6"/>
  <c r="H12"/>
  <c r="BB8"/>
  <c r="AK5"/>
  <c r="AC12"/>
  <c r="K11"/>
  <c r="AY8"/>
  <c r="R6"/>
  <c r="BG4"/>
  <c r="AQ4"/>
  <c r="T10"/>
  <c r="AD12"/>
  <c r="L11"/>
  <c r="BE9"/>
  <c r="AQ8"/>
  <c r="AE7"/>
  <c r="G5"/>
  <c r="BA12"/>
  <c r="I10"/>
  <c r="AU6"/>
  <c r="BE10"/>
  <c r="BK11"/>
  <c r="AV8"/>
  <c r="BM7"/>
  <c r="AN5"/>
  <c r="V6"/>
  <c r="BL9"/>
  <c r="M10"/>
  <c r="BF5"/>
  <c r="AJ4"/>
  <c r="AO10"/>
  <c r="AT4"/>
  <c r="R11"/>
  <c r="F5"/>
  <c r="P12"/>
  <c r="H10"/>
  <c r="BJ8"/>
  <c r="AY7"/>
  <c r="AV6"/>
  <c r="AS5"/>
  <c r="AH4"/>
  <c r="AG12"/>
  <c r="AM12"/>
  <c r="T11"/>
  <c r="BH8"/>
  <c r="AM7"/>
  <c r="AA6"/>
  <c r="BA8"/>
  <c r="BI4"/>
  <c r="AU10"/>
  <c r="AP12"/>
  <c r="V11"/>
  <c r="G10"/>
  <c r="AZ8"/>
  <c r="BI3"/>
  <c r="BI13"/>
  <c r="R3"/>
  <c r="R13"/>
  <c r="H3"/>
  <c r="H13"/>
  <c r="AZ3"/>
  <c r="AZ13"/>
  <c r="AX3"/>
  <c r="AX13"/>
  <c r="AF13"/>
  <c r="AF3"/>
  <c r="BF3"/>
  <c r="BF13"/>
  <c r="V3"/>
  <c r="V13"/>
  <c r="BE3"/>
  <c r="BE13"/>
  <c r="Y3"/>
  <c r="Y13"/>
  <c r="AR3"/>
  <c r="AR13"/>
  <c r="X3"/>
  <c r="X13"/>
  <c r="AP13"/>
  <c r="AP3"/>
  <c r="AM13"/>
  <c r="AM3"/>
  <c r="AW13"/>
  <c r="AW3"/>
  <c r="BJ3"/>
  <c r="BJ13"/>
  <c r="AL3"/>
  <c r="AL13"/>
  <c r="Q3"/>
  <c r="Q13"/>
  <c r="G13"/>
  <c r="G3"/>
  <c r="AI3"/>
  <c r="AI13"/>
  <c r="AF12"/>
  <c r="AC11"/>
  <c r="X10"/>
  <c r="S9"/>
  <c r="N8"/>
  <c r="BL6"/>
  <c r="BI5"/>
  <c r="AX4"/>
  <c r="AW12"/>
  <c r="BI12"/>
  <c r="AM11"/>
  <c r="Y10"/>
  <c r="T9"/>
  <c r="BE7"/>
  <c r="AS6"/>
  <c r="AG5"/>
  <c r="M4"/>
  <c r="AI5"/>
  <c r="AQ11"/>
  <c r="BJ12"/>
  <c r="AN11"/>
  <c r="Z10"/>
  <c r="L9"/>
  <c r="BF7"/>
  <c r="AT6"/>
  <c r="AH5"/>
  <c r="W4"/>
  <c r="BH11"/>
  <c r="AS10"/>
  <c r="V9"/>
  <c r="AF7"/>
  <c r="BB5"/>
  <c r="M12"/>
  <c r="O9"/>
  <c r="AH12"/>
  <c r="O11"/>
  <c r="J10"/>
  <c r="BC8"/>
  <c r="AP7"/>
  <c r="U6"/>
  <c r="I5"/>
  <c r="AI12"/>
  <c r="BJ7"/>
  <c r="BK9"/>
  <c r="BI6"/>
  <c r="T4"/>
  <c r="BK4"/>
  <c r="AU7"/>
  <c r="G9"/>
  <c r="BC9"/>
  <c r="BD7"/>
  <c r="BG10"/>
  <c r="BL7"/>
  <c r="AF5"/>
  <c r="AB11"/>
  <c r="AE6"/>
  <c r="K8"/>
  <c r="BB9"/>
  <c r="AC7"/>
  <c r="AY10"/>
  <c r="BE11"/>
  <c r="AE8"/>
  <c r="AM5"/>
  <c r="AZ6"/>
  <c r="BG5"/>
  <c r="BM5"/>
  <c r="AP6"/>
  <c r="AI9"/>
  <c r="BJ11"/>
  <c r="AL9"/>
  <c r="AY5"/>
  <c r="W12"/>
  <c r="AR10"/>
  <c r="BM6"/>
  <c r="U12"/>
  <c r="H8"/>
  <c r="BI9"/>
  <c r="AG11"/>
  <c r="BI7"/>
  <c r="P4"/>
  <c r="AK7"/>
  <c r="BA9"/>
  <c r="AD10"/>
  <c r="G6"/>
  <c r="Z9"/>
  <c r="AT11"/>
  <c r="N6"/>
  <c r="AJ7"/>
  <c r="AV10"/>
  <c r="AA7"/>
  <c r="J4"/>
  <c r="AZ10"/>
  <c r="L7"/>
  <c r="AO7"/>
  <c r="J12"/>
  <c r="Y8"/>
  <c r="AY4"/>
  <c r="AW9"/>
  <c r="AG4"/>
  <c r="AP11"/>
  <c r="I8"/>
  <c r="Y4"/>
  <c r="BK7"/>
  <c r="U10"/>
  <c r="Q4"/>
  <c r="Z6"/>
  <c r="AJ11"/>
  <c r="N12"/>
  <c r="AG6"/>
  <c r="AN8"/>
  <c r="BD10"/>
  <c r="AI7"/>
  <c r="AC5"/>
  <c r="S12"/>
  <c r="AP8"/>
  <c r="I6"/>
  <c r="X4"/>
  <c r="BJ10"/>
  <c r="V7"/>
  <c r="AQ12"/>
  <c r="AI8"/>
  <c r="AL10"/>
  <c r="AT10"/>
  <c r="BF6"/>
  <c r="AP9"/>
  <c r="AE5"/>
  <c r="K4"/>
  <c r="AU12"/>
  <c r="U4"/>
  <c r="BM4"/>
  <c r="AD5"/>
  <c r="AB4"/>
  <c r="I9"/>
  <c r="BG9"/>
  <c r="AN6"/>
  <c r="Y12"/>
  <c r="BM9"/>
  <c r="AD7"/>
  <c r="Q8"/>
  <c r="S6"/>
  <c r="AF11"/>
  <c r="AR8"/>
  <c r="Q5"/>
  <c r="AK8"/>
  <c r="BC10"/>
  <c r="AO9"/>
  <c r="AA8"/>
  <c r="O7"/>
  <c r="BC5"/>
  <c r="AR4"/>
  <c r="AC10"/>
  <c r="O12"/>
  <c r="AW5"/>
  <c r="AB12"/>
  <c r="BA6"/>
  <c r="S4"/>
  <c r="BJ6"/>
  <c r="AM4"/>
  <c r="AA4"/>
  <c r="Q6"/>
  <c r="W6"/>
  <c r="G7"/>
  <c r="BH12"/>
  <c r="BJ9"/>
  <c r="M11"/>
  <c r="F10"/>
  <c r="O5"/>
  <c r="BL5"/>
  <c r="AU4"/>
  <c r="L13"/>
  <c r="L3"/>
  <c r="BD13"/>
  <c r="BD3"/>
  <c r="I3"/>
  <c r="I13"/>
  <c r="K13"/>
  <c r="K3"/>
  <c r="BG3"/>
  <c r="BG13"/>
  <c r="BC13"/>
  <c r="BC3"/>
  <c r="AU13"/>
  <c r="AU3"/>
  <c r="AO3"/>
  <c r="AO13"/>
  <c r="M3"/>
  <c r="M13"/>
  <c r="J13"/>
  <c r="J3"/>
  <c r="AY3"/>
  <c r="AY13"/>
  <c r="AQ13"/>
  <c r="AQ3"/>
  <c r="AK3"/>
  <c r="AK13"/>
  <c r="AT3"/>
  <c r="AT13"/>
  <c r="N3"/>
  <c r="N13"/>
  <c r="AS3"/>
  <c r="AS13"/>
  <c r="BH3"/>
  <c r="BH13"/>
  <c r="AG13"/>
  <c r="AG3"/>
  <c r="T13"/>
  <c r="T3"/>
  <c r="F3"/>
  <c r="F13"/>
  <c r="AD3"/>
  <c r="AD13"/>
  <c r="AN12"/>
  <c r="AK11"/>
  <c r="AF10"/>
  <c r="AA9"/>
  <c r="V8"/>
  <c r="K7"/>
  <c r="H6"/>
  <c r="BF4"/>
  <c r="BE12"/>
  <c r="BB11"/>
  <c r="AV11"/>
  <c r="AH10"/>
  <c r="AC9"/>
  <c r="O8"/>
  <c r="BB6"/>
  <c r="AP5"/>
  <c r="V4"/>
  <c r="AC6"/>
  <c r="BL11"/>
  <c r="BA7"/>
  <c r="AW11"/>
  <c r="AI10"/>
  <c r="U9"/>
  <c r="G8"/>
  <c r="BC6"/>
  <c r="AQ5"/>
  <c r="AF4"/>
  <c r="K12"/>
  <c r="BB10"/>
  <c r="AE9"/>
  <c r="AX7"/>
  <c r="BK5"/>
  <c r="BC12"/>
  <c r="AG9"/>
  <c r="AR12"/>
  <c r="X11"/>
  <c r="S10"/>
  <c r="BL8"/>
  <c r="AZ7"/>
  <c r="AD6"/>
  <c r="R5"/>
  <c r="G4"/>
  <c r="J8"/>
  <c r="AE10"/>
  <c r="Q7"/>
  <c r="AL4"/>
  <c r="AL5"/>
  <c r="AF8"/>
  <c r="AW10"/>
  <c r="W10"/>
  <c r="AJ9"/>
  <c r="AA11"/>
  <c r="W8"/>
  <c r="AX5"/>
  <c r="BD11"/>
  <c r="T7"/>
  <c r="BF8"/>
  <c r="V10"/>
  <c r="M8"/>
  <c r="S11"/>
  <c r="AA12"/>
  <c r="BE8"/>
  <c r="BE5"/>
  <c r="AP10"/>
  <c r="AI6"/>
  <c r="BG6"/>
  <c r="BH6"/>
  <c r="F4"/>
  <c r="AV12"/>
  <c r="AN10"/>
  <c r="AD8"/>
  <c r="S7"/>
  <c r="P6"/>
  <c r="M5"/>
  <c r="BF11"/>
  <c r="X8"/>
  <c r="AE4"/>
  <c r="AB8"/>
  <c r="AD9"/>
  <c r="AZ5"/>
  <c r="BK10"/>
  <c r="K6"/>
  <c r="BB12"/>
  <c r="AB10"/>
  <c r="AM6"/>
  <c r="AU8"/>
  <c r="BD4"/>
  <c r="Q11"/>
  <c r="BC11"/>
  <c r="Z12"/>
  <c r="AL11"/>
  <c r="BF12"/>
  <c r="BG12"/>
  <c r="BC7"/>
  <c r="BA11"/>
  <c r="AL8"/>
  <c r="X6"/>
  <c r="I12"/>
  <c r="AU9"/>
  <c r="BH5"/>
  <c r="AS12"/>
  <c r="BA10"/>
  <c r="M7"/>
  <c r="AE12"/>
  <c r="Z8"/>
  <c r="K10"/>
  <c r="AK10"/>
  <c r="AW6"/>
  <c r="F9"/>
  <c r="L5"/>
  <c r="AJ12"/>
  <c r="R12"/>
  <c r="AX12"/>
  <c r="AC4"/>
  <c r="BC4"/>
  <c r="I4"/>
  <c r="AO8"/>
  <c r="BL12"/>
  <c r="AY9"/>
  <c r="R4"/>
  <c r="BI10"/>
  <c r="U7"/>
  <c r="BH7"/>
  <c r="T12"/>
  <c r="AH8"/>
  <c r="J6"/>
  <c r="W11"/>
  <c r="AL6"/>
  <c r="S8"/>
  <c r="AF9"/>
  <c r="AT5"/>
  <c r="AU11"/>
  <c r="AS7"/>
  <c r="W5"/>
  <c r="AR9"/>
  <c r="AS9"/>
  <c r="AO5"/>
  <c r="AY6"/>
  <c r="AH9"/>
  <c r="BL10"/>
  <c r="AQ7"/>
  <c r="Z4"/>
  <c r="AN7"/>
  <c r="AB6"/>
  <c r="P5"/>
  <c r="BK12"/>
  <c r="AO11"/>
  <c r="R10"/>
  <c r="BK8"/>
  <c r="BE6"/>
  <c r="Z5"/>
  <c r="G11"/>
  <c r="BD8"/>
  <c r="L12"/>
  <c r="BM10"/>
  <c r="AX9"/>
  <c r="AJ8"/>
  <c r="X7"/>
  <c r="BA4"/>
  <c r="Y11"/>
  <c r="AT12"/>
  <c r="P9"/>
  <c r="Y6"/>
  <c r="AC8"/>
  <c r="H4"/>
  <c r="AH6"/>
  <c r="I7"/>
  <c r="J7"/>
  <c r="K5"/>
  <c r="L10"/>
  <c r="R7"/>
  <c r="BE4"/>
  <c r="BH10"/>
  <c r="S5"/>
  <c r="O6"/>
  <c r="AB7"/>
  <c r="J5"/>
  <c r="P7"/>
  <c r="I11"/>
  <c r="Y7"/>
  <c r="BL4"/>
  <c r="AR11"/>
  <c r="BB4"/>
  <c r="F8"/>
  <c r="F8" i="2" l="1"/>
  <c r="BB4"/>
  <c r="AR11"/>
  <c r="BL4"/>
  <c r="Y7"/>
  <c r="I11"/>
  <c r="P7"/>
  <c r="J5"/>
  <c r="AB7"/>
  <c r="O6"/>
  <c r="S5"/>
  <c r="BH10"/>
  <c r="BE4"/>
  <c r="R7"/>
  <c r="L10"/>
  <c r="K5"/>
  <c r="J7"/>
  <c r="I7"/>
  <c r="AH6"/>
  <c r="H4"/>
  <c r="AC8"/>
  <c r="Y6"/>
  <c r="P9"/>
  <c r="AT12"/>
  <c r="Y11"/>
  <c r="BA4"/>
  <c r="X7"/>
  <c r="AJ8"/>
  <c r="AX9"/>
  <c r="BM10"/>
  <c r="L12"/>
  <c r="BD8"/>
  <c r="G11"/>
  <c r="Z5"/>
  <c r="BE6"/>
  <c r="BK8"/>
  <c r="R10"/>
  <c r="AO11"/>
  <c r="BK12"/>
  <c r="P5"/>
  <c r="AB6"/>
  <c r="AN7"/>
  <c r="Z4"/>
  <c r="AQ7"/>
  <c r="BL10"/>
  <c r="AH9"/>
  <c r="AY6"/>
  <c r="AO5"/>
  <c r="AS9"/>
  <c r="AR9"/>
  <c r="W5"/>
  <c r="AS7"/>
  <c r="AU11"/>
  <c r="AT5"/>
  <c r="AF9"/>
  <c r="S8"/>
  <c r="AL6"/>
  <c r="W11"/>
  <c r="J6"/>
  <c r="AH8"/>
  <c r="T12"/>
  <c r="BH7"/>
  <c r="U7"/>
  <c r="BI10"/>
  <c r="R4"/>
  <c r="AY9"/>
  <c r="BL12"/>
  <c r="AO8"/>
  <c r="I4"/>
  <c r="BC4"/>
  <c r="AC4"/>
  <c r="AX12"/>
  <c r="R12"/>
  <c r="AJ12"/>
  <c r="L5"/>
  <c r="F9"/>
  <c r="AW6"/>
  <c r="AK10"/>
  <c r="K10"/>
  <c r="Z8"/>
  <c r="AE12"/>
  <c r="M7"/>
  <c r="BA10"/>
  <c r="AS12"/>
  <c r="BH5"/>
  <c r="AU9"/>
  <c r="I12"/>
  <c r="X6"/>
  <c r="AL8"/>
  <c r="BA11"/>
  <c r="BC7"/>
  <c r="BG12"/>
  <c r="BF12"/>
  <c r="AL11"/>
  <c r="Z12"/>
  <c r="BC11"/>
  <c r="Q11"/>
  <c r="BD4"/>
  <c r="AU8"/>
  <c r="AM6"/>
  <c r="AB10"/>
  <c r="BB12"/>
  <c r="K6"/>
  <c r="BK10"/>
  <c r="AZ5"/>
  <c r="AD9"/>
  <c r="AB8"/>
  <c r="AE4"/>
  <c r="X8"/>
  <c r="BF11"/>
  <c r="M5"/>
  <c r="P6"/>
  <c r="S7"/>
  <c r="AD8"/>
  <c r="AN10"/>
  <c r="AV12"/>
  <c r="F4"/>
  <c r="BH6"/>
  <c r="BG6"/>
  <c r="AI6"/>
  <c r="AP10"/>
  <c r="BE5"/>
  <c r="BE8"/>
  <c r="AA12"/>
  <c r="S11"/>
  <c r="M8"/>
  <c r="V10"/>
  <c r="BF8"/>
  <c r="T7"/>
  <c r="BD11"/>
  <c r="AX5"/>
  <c r="W8"/>
  <c r="AA11"/>
  <c r="AJ9"/>
  <c r="W10"/>
  <c r="AW10"/>
  <c r="AF8"/>
  <c r="AL5"/>
  <c r="AL4"/>
  <c r="Q7"/>
  <c r="AE10"/>
  <c r="J8"/>
  <c r="G4"/>
  <c r="R5"/>
  <c r="AD6"/>
  <c r="AZ7"/>
  <c r="BL8"/>
  <c r="S10"/>
  <c r="X11"/>
  <c r="AR12"/>
  <c r="AG9"/>
  <c r="BC12"/>
  <c r="BK5"/>
  <c r="AX7"/>
  <c r="AE9"/>
  <c r="BB10"/>
  <c r="K12"/>
  <c r="AF4"/>
  <c r="AQ5"/>
  <c r="BC6"/>
  <c r="G8"/>
  <c r="U9"/>
  <c r="AI10"/>
  <c r="AW11"/>
  <c r="BA7"/>
  <c r="BL11"/>
  <c r="AC6"/>
  <c r="V4"/>
  <c r="AP5"/>
  <c r="BB6"/>
  <c r="O8"/>
  <c r="AC9"/>
  <c r="AH10"/>
  <c r="AV11"/>
  <c r="BB11"/>
  <c r="BE12"/>
  <c r="BF4"/>
  <c r="H6"/>
  <c r="K7"/>
  <c r="V8"/>
  <c r="AA9"/>
  <c r="AF10"/>
  <c r="AK11"/>
  <c r="AN12"/>
  <c r="AD13"/>
  <c r="AD3"/>
  <c r="F13"/>
  <c r="F3"/>
  <c r="T3"/>
  <c r="T13"/>
  <c r="AG3"/>
  <c r="AG13"/>
  <c r="BH13"/>
  <c r="BH3"/>
  <c r="AS13"/>
  <c r="AS3"/>
  <c r="N13"/>
  <c r="N3"/>
  <c r="AT13"/>
  <c r="AT3"/>
  <c r="AK13"/>
  <c r="AK3"/>
  <c r="AQ3"/>
  <c r="AQ13"/>
  <c r="AY13"/>
  <c r="AY3"/>
  <c r="J3"/>
  <c r="J13"/>
  <c r="M13"/>
  <c r="M3"/>
  <c r="AO13"/>
  <c r="AO3"/>
  <c r="AU3"/>
  <c r="AU13"/>
  <c r="BC3"/>
  <c r="BC13"/>
  <c r="BG13"/>
  <c r="BG3"/>
  <c r="K3"/>
  <c r="K13"/>
  <c r="I13"/>
  <c r="I3"/>
  <c r="BD3"/>
  <c r="BD13"/>
  <c r="L3"/>
  <c r="L13"/>
  <c r="AU4"/>
  <c r="BL5"/>
  <c r="O5"/>
  <c r="F10"/>
  <c r="M11"/>
  <c r="BJ9"/>
  <c r="BH12"/>
  <c r="G7"/>
  <c r="W6"/>
  <c r="Q6"/>
  <c r="AA4"/>
  <c r="AM4"/>
  <c r="BJ6"/>
  <c r="S4"/>
  <c r="BA6"/>
  <c r="AB12"/>
  <c r="AW5"/>
  <c r="O12"/>
  <c r="AC10"/>
  <c r="AR4"/>
  <c r="BC5"/>
  <c r="O7"/>
  <c r="AA8"/>
  <c r="AO9"/>
  <c r="BC10"/>
  <c r="AK8"/>
  <c r="Q5"/>
  <c r="AR8"/>
  <c r="AF11"/>
  <c r="S6"/>
  <c r="Q8"/>
  <c r="AD7"/>
  <c r="BM9"/>
  <c r="Y12"/>
  <c r="AN6"/>
  <c r="BG9"/>
  <c r="I9"/>
  <c r="AB4"/>
  <c r="AD5"/>
  <c r="BM4"/>
  <c r="U4"/>
  <c r="AU12"/>
  <c r="K4"/>
  <c r="AE5"/>
  <c r="AP9"/>
  <c r="BF6"/>
  <c r="AT10"/>
  <c r="AL10"/>
  <c r="AI8"/>
  <c r="AQ12"/>
  <c r="V7"/>
  <c r="BJ10"/>
  <c r="X4"/>
  <c r="I6"/>
  <c r="AP8"/>
  <c r="S12"/>
  <c r="AC5"/>
  <c r="AI7"/>
  <c r="BD10"/>
  <c r="AN8"/>
  <c r="AG6"/>
  <c r="N12"/>
  <c r="AJ11"/>
  <c r="Z6"/>
  <c r="Q4"/>
  <c r="U10"/>
  <c r="BK7"/>
  <c r="Y4"/>
  <c r="I8"/>
  <c r="AP11"/>
  <c r="AG4"/>
  <c r="AW9"/>
  <c r="AY4"/>
  <c r="Y8"/>
  <c r="J12"/>
  <c r="AO7"/>
  <c r="L7"/>
  <c r="AZ10"/>
  <c r="J4"/>
  <c r="AA7"/>
  <c r="AV10"/>
  <c r="AJ7"/>
  <c r="N6"/>
  <c r="AT11"/>
  <c r="Z9"/>
  <c r="G6"/>
  <c r="AD10"/>
  <c r="BA9"/>
  <c r="AK7"/>
  <c r="P4"/>
  <c r="BI7"/>
  <c r="AG11"/>
  <c r="BI9"/>
  <c r="H8"/>
  <c r="U12"/>
  <c r="BM6"/>
  <c r="AR10"/>
  <c r="W12"/>
  <c r="AY5"/>
  <c r="AL9"/>
  <c r="BJ11"/>
  <c r="AI9"/>
  <c r="AP6"/>
  <c r="BM5"/>
  <c r="BG5"/>
  <c r="AZ6"/>
  <c r="AM5"/>
  <c r="AE8"/>
  <c r="BE11"/>
  <c r="AY10"/>
  <c r="AC7"/>
  <c r="BB9"/>
  <c r="K8"/>
  <c r="AE6"/>
  <c r="AB11"/>
  <c r="AF5"/>
  <c r="BL7"/>
  <c r="BG10"/>
  <c r="BD7"/>
  <c r="BC9"/>
  <c r="G9"/>
  <c r="AU7"/>
  <c r="BK4"/>
  <c r="T4"/>
  <c r="BI6"/>
  <c r="BK9"/>
  <c r="BJ7"/>
  <c r="AI12"/>
  <c r="I5"/>
  <c r="U6"/>
  <c r="AP7"/>
  <c r="BC8"/>
  <c r="J10"/>
  <c r="O11"/>
  <c r="AH12"/>
  <c r="O9"/>
  <c r="M12"/>
  <c r="BB5"/>
  <c r="AF7"/>
  <c r="V9"/>
  <c r="AS10"/>
  <c r="BH11"/>
  <c r="W4"/>
  <c r="AH5"/>
  <c r="AT6"/>
  <c r="BF7"/>
  <c r="L9"/>
  <c r="Z10"/>
  <c r="AN11"/>
  <c r="BJ12"/>
  <c r="AQ11"/>
  <c r="AI5"/>
  <c r="M4"/>
  <c r="AG5"/>
  <c r="AS6"/>
  <c r="BE7"/>
  <c r="T9"/>
  <c r="Y10"/>
  <c r="AM11"/>
  <c r="BI12"/>
  <c r="AW12"/>
  <c r="AX4"/>
  <c r="BI5"/>
  <c r="BL6"/>
  <c r="N8"/>
  <c r="S9"/>
  <c r="X10"/>
  <c r="AC11"/>
  <c r="AF12"/>
  <c r="AI13"/>
  <c r="AI3"/>
  <c r="G3"/>
  <c r="G13"/>
  <c r="Q13"/>
  <c r="Q3"/>
  <c r="AL13"/>
  <c r="AL3"/>
  <c r="BJ13"/>
  <c r="BJ3"/>
  <c r="AW3"/>
  <c r="AW13"/>
  <c r="AM3"/>
  <c r="AM13"/>
  <c r="AP3"/>
  <c r="AP13"/>
  <c r="X13"/>
  <c r="X3"/>
  <c r="AR13"/>
  <c r="AR3"/>
  <c r="Y13"/>
  <c r="Y3"/>
  <c r="BE13"/>
  <c r="BE3"/>
  <c r="V13"/>
  <c r="V3"/>
  <c r="BF13"/>
  <c r="BF3"/>
  <c r="AF3"/>
  <c r="AF13"/>
  <c r="AX13"/>
  <c r="AX3"/>
  <c r="AZ13"/>
  <c r="AZ3"/>
  <c r="H13"/>
  <c r="H3"/>
  <c r="R13"/>
  <c r="R3"/>
  <c r="BI13"/>
  <c r="BI3"/>
  <c r="AZ8"/>
  <c r="G10"/>
  <c r="V11"/>
  <c r="AP12"/>
  <c r="AU10"/>
  <c r="BI4"/>
  <c r="BA8"/>
  <c r="AA6"/>
  <c r="AM7"/>
  <c r="BH8"/>
  <c r="T11"/>
  <c r="AM12"/>
  <c r="AG12"/>
  <c r="AH4"/>
  <c r="AS5"/>
  <c r="AV6"/>
  <c r="AY7"/>
  <c r="BJ8"/>
  <c r="H10"/>
  <c r="P12"/>
  <c r="F5"/>
  <c r="R11"/>
  <c r="AT4"/>
  <c r="AO10"/>
  <c r="AJ4"/>
  <c r="BF5"/>
  <c r="M10"/>
  <c r="BL9"/>
  <c r="V6"/>
  <c r="AN5"/>
  <c r="BM7"/>
  <c r="AV8"/>
  <c r="BK11"/>
  <c r="BE10"/>
  <c r="AU6"/>
  <c r="I10"/>
  <c r="BA12"/>
  <c r="G5"/>
  <c r="AE7"/>
  <c r="AQ8"/>
  <c r="BE9"/>
  <c r="L11"/>
  <c r="AD12"/>
  <c r="T10"/>
  <c r="AQ4"/>
  <c r="BG4"/>
  <c r="R6"/>
  <c r="AY8"/>
  <c r="K11"/>
  <c r="AC12"/>
  <c r="AK5"/>
  <c r="BB8"/>
  <c r="H12"/>
  <c r="F6"/>
  <c r="AB9"/>
  <c r="N10"/>
  <c r="AL12"/>
  <c r="BM11"/>
  <c r="AR6"/>
  <c r="AB5"/>
  <c r="J11"/>
  <c r="U8"/>
  <c r="AI4"/>
  <c r="R8"/>
  <c r="AY11"/>
  <c r="AZ4"/>
  <c r="BF9"/>
  <c r="BH4"/>
  <c r="AV9"/>
  <c r="AZ9"/>
  <c r="AW4"/>
  <c r="BD9"/>
  <c r="Q12"/>
  <c r="AF6"/>
  <c r="AT8"/>
  <c r="BI11"/>
  <c r="F7"/>
  <c r="BG8"/>
  <c r="AT9"/>
  <c r="L4"/>
  <c r="R9"/>
  <c r="Q9"/>
  <c r="AD4"/>
  <c r="AX6"/>
  <c r="Z11"/>
  <c r="AJ5"/>
  <c r="W9"/>
  <c r="AH7"/>
  <c r="T6"/>
  <c r="N11"/>
  <c r="BJ5"/>
  <c r="AM9"/>
  <c r="X9"/>
  <c r="AN4"/>
  <c r="AG8"/>
  <c r="G12"/>
  <c r="U5"/>
  <c r="AQ9"/>
  <c r="BD12"/>
  <c r="F12"/>
  <c r="BB7"/>
  <c r="Y9"/>
  <c r="AX10"/>
  <c r="AX8"/>
  <c r="AW8"/>
  <c r="AK12"/>
  <c r="M6"/>
  <c r="BF10"/>
  <c r="AA5"/>
  <c r="N9"/>
  <c r="O4"/>
  <c r="AN9"/>
  <c r="AO4"/>
  <c r="P8"/>
  <c r="BG11"/>
  <c r="W7"/>
  <c r="BK6"/>
  <c r="AQ10"/>
  <c r="BM12"/>
  <c r="AS11"/>
  <c r="AK4"/>
  <c r="AU5"/>
  <c r="AV4"/>
  <c r="V5"/>
  <c r="T5"/>
  <c r="AT7"/>
  <c r="AI11"/>
  <c r="T8"/>
  <c r="AO6"/>
  <c r="AM8"/>
  <c r="Z7"/>
  <c r="BD5"/>
  <c r="H11"/>
  <c r="N5"/>
  <c r="AL7"/>
  <c r="AG10"/>
  <c r="AV5"/>
  <c r="H9"/>
  <c r="L8"/>
  <c r="H7"/>
  <c r="AS4"/>
  <c r="AM10"/>
  <c r="AQ6"/>
  <c r="AK9"/>
  <c r="AR7"/>
  <c r="AZ11"/>
  <c r="BJ4"/>
  <c r="L6"/>
  <c r="AG7"/>
  <c r="AS8"/>
  <c r="BH9"/>
  <c r="F11"/>
  <c r="V12"/>
  <c r="BM8"/>
  <c r="AH11"/>
  <c r="AR5"/>
  <c r="N7"/>
  <c r="M9"/>
  <c r="AJ10"/>
  <c r="AX11"/>
  <c r="N4"/>
  <c r="Y5"/>
  <c r="AK6"/>
  <c r="AW7"/>
  <c r="BI8"/>
  <c r="Q10"/>
  <c r="AE11"/>
  <c r="AZ12"/>
  <c r="P11"/>
  <c r="H5"/>
  <c r="AA10"/>
  <c r="X5"/>
  <c r="AJ6"/>
  <c r="AV7"/>
  <c r="J9"/>
  <c r="O10"/>
  <c r="AD11"/>
  <c r="AY12"/>
  <c r="AO12"/>
  <c r="AP4"/>
  <c r="BA5"/>
  <c r="BD6"/>
  <c r="BG7"/>
  <c r="K9"/>
  <c r="P10"/>
  <c r="U11"/>
  <c r="X12"/>
  <c r="O3"/>
  <c r="O13"/>
  <c r="Z13"/>
  <c r="Z3"/>
  <c r="AH3"/>
  <c r="AH13"/>
  <c r="P13"/>
  <c r="P3"/>
  <c r="AV13"/>
  <c r="AV3"/>
  <c r="AC13"/>
  <c r="AC3"/>
  <c r="AB3"/>
  <c r="AB13"/>
  <c r="AJ13"/>
  <c r="AJ3"/>
  <c r="BB13"/>
  <c r="BB3"/>
  <c r="BA13"/>
  <c r="BA3"/>
  <c r="W3"/>
  <c r="W13"/>
  <c r="BK3"/>
  <c r="BK13"/>
  <c r="AE3"/>
  <c r="AE13"/>
  <c r="BM3"/>
  <c r="BM13"/>
  <c r="U13"/>
  <c r="U3"/>
  <c r="S3"/>
  <c r="S13"/>
  <c r="AN3"/>
  <c r="AN13"/>
  <c r="AA13"/>
  <c r="AA3"/>
  <c r="BL3"/>
  <c r="BL13"/>
  <c r="AD2"/>
  <c r="F2"/>
  <c r="T2"/>
  <c r="AG2"/>
  <c r="BH2"/>
  <c r="AS2"/>
  <c r="N2"/>
  <c r="AT2"/>
  <c r="AK2"/>
  <c r="AQ2"/>
  <c r="AY2"/>
  <c r="J2"/>
  <c r="M2"/>
  <c r="AO2"/>
  <c r="AU2"/>
  <c r="BC2"/>
  <c r="BG2"/>
  <c r="K2"/>
  <c r="I2"/>
  <c r="BD2"/>
  <c r="L2"/>
  <c r="AI2"/>
  <c r="G2"/>
  <c r="Q2"/>
  <c r="AL2"/>
  <c r="BJ2"/>
  <c r="AW2"/>
  <c r="AM2"/>
  <c r="AP2"/>
  <c r="X2"/>
  <c r="AR2"/>
  <c r="Y2"/>
  <c r="BE2"/>
  <c r="V2"/>
  <c r="BF2"/>
  <c r="AF2"/>
  <c r="AX2"/>
  <c r="AZ2"/>
  <c r="H2"/>
  <c r="R2"/>
  <c r="BI2"/>
  <c r="O2"/>
  <c r="Z2"/>
  <c r="AH2"/>
  <c r="P2"/>
  <c r="AV2"/>
  <c r="AC2"/>
  <c r="AB2"/>
  <c r="AJ2"/>
  <c r="BB2"/>
  <c r="BA2"/>
  <c r="W2"/>
  <c r="BK2"/>
  <c r="AE2"/>
  <c r="BM2"/>
  <c r="U2"/>
  <c r="S2"/>
  <c r="AN2"/>
  <c r="AA2"/>
  <c r="BL2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<sst xmlns="http://schemas.openxmlformats.org/spreadsheetml/2006/main" count="31" uniqueCount="31">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</sst>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##V3_BDHV12</stp>
        <stp>RECFDSOF Index</stp>
        <stp>PR005</stp>
        <stp>-60CQ</stp>
        <stp>2018/3/14</stp>
        <stp>[BI_REITN_1_bdvnk2cf.xlsx]ReferenceData!R62C3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2" s="3"/>
      </tp>
      <tp t="s">
        <v>#N/A Requesting Data...</v>
        <stp/>
        <stp>##V3_BDHV12</stp>
        <stp>RECFDSOF Index</stp>
        <stp>PR005</stp>
        <stp>-60CQ</stp>
        <stp>2018/3/13</stp>
        <stp>[BI_REITN_1_bdvnk2cf.xlsx]ReferenceData!R54C3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4" s="3"/>
      </tp>
    </main>
    <main first="bloomberg.ccyreader">
      <tp>
        <v>0</v>
        <stp/>
        <stp>#track</stp>
        <stp>DBG</stp>
        <stp>BIHITX</stp>
        <stp>1.0</stp>
        <stp>RepeatHit</stp>
        <tr r="A23" s="3"/>
      </tp>
    </main>
    <main first="bloomberg.rtd">
      <tp t="s">
        <v>#N/A Requesting Data...</v>
        <stp/>
        <stp>##V3_BDHV12</stp>
        <stp>RECFNAOF Index</stp>
        <stp>PR005</stp>
        <stp>-60CQ</stp>
        <stp>2018/3/14</stp>
        <stp>[BI_REITN_1_bdvnk2cf.xlsx]ReferenceData!R64C3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4" s="3"/>
      </tp>
      <tp t="s">
        <v>#N/A Requesting Data...</v>
        <stp/>
        <stp>##V3_BDHV12</stp>
        <stp>RECFNAOF Index</stp>
        <stp>PR005</stp>
        <stp>-60CQ</stp>
        <stp>2018/3/13</stp>
        <stp>[BI_REITN_1_bdvnk2cf.xlsx]ReferenceData!R56C3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6" s="3"/>
      </tp>
      <tp t="s">
        <v>#N/A Requesting Data...</v>
        <stp/>
        <stp>##V3_BDHV12</stp>
        <stp>RECFTAOF Index</stp>
        <stp>PR005</stp>
        <stp>-60CQ</stp>
        <stp>2018/3/14</stp>
        <stp>[BI_REITN_1_bdvnk2cf.xlsx]ReferenceData!R60C3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60" s="3"/>
      </tp>
      <tp t="s">
        <v>#N/A Requesting Data...</v>
        <stp/>
        <stp>##V3_BDHV12</stp>
        <stp>RECFTAOF Index</stp>
        <stp>PR005</stp>
        <stp>-60CQ</stp>
        <stp>2018/3/13</stp>
        <stp>[BI_REITN_1_bdvnk2cf.xlsx]ReferenceData!R52C3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52" s="3"/>
      </tp>
      <tp t="s">
        <v>#N/A Requesting Data...</v>
        <stp/>
        <stp>##V3_BDHV12</stp>
        <stp>RECFDVOF Index</stp>
        <stp>PR005</stp>
        <stp>-60CQ</stp>
        <stp>2018/3/14</stp>
        <stp>[BI_REITN_1_bdvnk2cf.xlsx]ReferenceData!R39C6</stp>
        <stp>Per=CQ</stp>
        <stp>Dts=H</stp>
        <stp>Dir=H</stp>
        <stp>Points=60</stp>
        <stp>Sort=R</stp>
        <stp>Days=A</stp>
        <stp>Fill=B</stp>
        <stp>FX=USD</stp>
        <tr r="F39" s="3"/>
      </tp>
      <tp t="s">
        <v>#N/A Requesting Data...</v>
        <stp/>
        <stp>##V3_BDHV12</stp>
        <stp>RECFDSOF Index</stp>
        <stp>PR005</stp>
        <stp>-60CQ</stp>
        <stp>2018/3/14</stp>
        <stp>[BI_REITN_1_bdvnk2cf.xlsx]ReferenceData!R32C6</stp>
        <stp>Per=CQ</stp>
        <stp>Dts=H</stp>
        <stp>Dir=H</stp>
        <stp>Points=60</stp>
        <stp>Sort=R</stp>
        <stp>Days=A</stp>
        <stp>Fill=B</stp>
        <stp>FX=USD</stp>
        <tr r="F32" s="3"/>
      </tp>
      <tp t="s">
        <v>#N/A Requesting Data...</v>
        <stp/>
        <stp>##V3_BDHV12</stp>
        <stp>RECFFOOF Index</stp>
        <stp>PR005</stp>
        <stp>-60CQ</stp>
        <stp>2018/3/14</stp>
        <stp>[BI_REITN_1_bdvnk2cf.xlsx]ReferenceData!R36C6</stp>
        <stp>Per=CQ</stp>
        <stp>Dts=H</stp>
        <stp>Dir=H</stp>
        <stp>Points=60</stp>
        <stp>Sort=R</stp>
        <stp>Days=A</stp>
        <stp>Fill=B</stp>
        <stp>FX=USD</stp>
        <tr r="F36" s="3"/>
      </tp>
      <tp t="s">
        <v>#N/A Requesting Data...</v>
        <stp/>
        <stp>##V3_BDHV12</stp>
        <stp>RECFAVOF Index</stp>
        <stp>PR005</stp>
        <stp>-60CQ</stp>
        <stp>2018/3/14</stp>
        <stp>[BI_REITN_1_bdvnk2cf.xlsx]ReferenceData!R35C6</stp>
        <stp>Per=CQ</stp>
        <stp>Dts=H</stp>
        <stp>Dir=H</stp>
        <stp>Points=60</stp>
        <stp>Sort=R</stp>
        <stp>Days=A</stp>
        <stp>Fill=B</stp>
        <stp>FX=USD</stp>
        <tr r="F35" s="3"/>
      </tp>
      <tp t="s">
        <v>#N/A Requesting Data...</v>
        <stp/>
        <stp>##V3_BDHV12</stp>
        <stp>RECFNAOF Index</stp>
        <stp>PR005</stp>
        <stp>-60CQ</stp>
        <stp>2018/3/14</stp>
        <stp>[BI_REITN_1_bdvnk2cf.xlsx]ReferenceData!R33C6</stp>
        <stp>Per=CQ</stp>
        <stp>Dts=H</stp>
        <stp>Dir=H</stp>
        <stp>Points=60</stp>
        <stp>Sort=R</stp>
        <stp>Days=A</stp>
        <stp>Fill=B</stp>
        <stp>FX=USD</stp>
        <tr r="F33" s="3"/>
      </tp>
      <tp t="s">
        <v>#N/A Requesting Data...</v>
        <stp/>
        <stp>##V3_BDHV12</stp>
        <stp>RECFNOOF Index</stp>
        <stp>PR005</stp>
        <stp>-60CQ</stp>
        <stp>2018/3/14</stp>
        <stp>[BI_REITN_1_bdvnk2cf.xlsx]ReferenceData!R37C6</stp>
        <stp>Per=CQ</stp>
        <stp>Dts=H</stp>
        <stp>Dir=H</stp>
        <stp>Points=60</stp>
        <stp>Sort=R</stp>
        <stp>Days=A</stp>
        <stp>Fill=B</stp>
        <stp>FX=USD</stp>
        <tr r="F37" s="3"/>
      </tp>
      <tp t="s">
        <v>#N/A Requesting Data...</v>
        <stp/>
        <stp>##V3_BDHV12</stp>
        <stp>RECFTDOF Index</stp>
        <stp>PR005</stp>
        <stp>-60CQ</stp>
        <stp>2018/3/14</stp>
        <stp>[BI_REITN_1_bdvnk2cf.xlsx]ReferenceData!R38C6</stp>
        <stp>Per=CQ</stp>
        <stp>Dts=H</stp>
        <stp>Dir=H</stp>
        <stp>Points=60</stp>
        <stp>Sort=R</stp>
        <stp>Days=A</stp>
        <stp>Fill=B</stp>
        <stp>FX=USD</stp>
        <tr r="F38" s="3"/>
      </tp>
      <tp t="s">
        <v>#N/A Requesting Data...</v>
        <stp/>
        <stp>##V3_BDHV12</stp>
        <stp>RECFTAOF Index</stp>
        <stp>PR005</stp>
        <stp>-60CQ</stp>
        <stp>2018/3/14</stp>
        <stp>[BI_REITN_1_bdvnk2cf.xlsx]ReferenceData!R31C6</stp>
        <stp>Per=CQ</stp>
        <stp>Dts=H</stp>
        <stp>Dir=H</stp>
        <stp>Points=60</stp>
        <stp>Sort=R</stp>
        <stp>Days=A</stp>
        <stp>Fill=B</stp>
        <stp>FX=USD</stp>
        <tr r="F31" s="3"/>
      </tp>
      <tp t="s">
        <v>#N/A Requesting Data...</v>
        <stp/>
        <stp>##V3_BDHV12</stp>
        <stp>RECFSSOF Index</stp>
        <stp>PR005</stp>
        <stp>-60CQ</stp>
        <stp>2018/3/14</stp>
        <stp>[BI_REITN_1_bdvnk2cf.xlsx]ReferenceData!R34C6</stp>
        <stp>Per=CQ</stp>
        <stp>Dts=H</stp>
        <stp>Dir=H</stp>
        <stp>Points=60</stp>
        <stp>Sort=R</stp>
        <stp>Days=A</stp>
        <stp>Fill=B</stp>
        <stp>FX=USD</stp>
        <tr r="F3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3"/>
  <sheetViews>
    <sheetView tabSelected="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2017 Q4</v>
      </c>
      <c r="G2" t="str">
        <f>IFERROR(IF(0=LEN(ReferenceData!$G$2),"",ReferenceData!$G$2),"")</f>
        <v>2017 Q3</v>
      </c>
      <c r="H2" t="str">
        <f>IFERROR(IF(0=LEN(ReferenceData!$H$2),"",ReferenceData!$H$2),"")</f>
        <v>2017 Q2</v>
      </c>
      <c r="I2" t="str">
        <f>IFERROR(IF(0=LEN(ReferenceData!$I$2),"",ReferenceData!$I$2),"")</f>
        <v>2017 Q1</v>
      </c>
      <c r="J2" t="str">
        <f>IFERROR(IF(0=LEN(ReferenceData!$J$2),"",ReferenceData!$J$2),"")</f>
        <v>2016 Q4</v>
      </c>
      <c r="K2" t="str">
        <f>IFERROR(IF(0=LEN(ReferenceData!$K$2),"",ReferenceData!$K$2),"")</f>
        <v>2016 Q3</v>
      </c>
      <c r="L2" t="str">
        <f>IFERROR(IF(0=LEN(ReferenceData!$L$2),"",ReferenceData!$L$2),"")</f>
        <v>2016 Q2</v>
      </c>
      <c r="M2" t="str">
        <f>IFERROR(IF(0=LEN(ReferenceData!$M$2),"",ReferenceData!$M$2),"")</f>
        <v>2016 Q1</v>
      </c>
      <c r="N2" t="str">
        <f>IFERROR(IF(0=LEN(ReferenceData!$N$2),"",ReferenceData!$N$2),"")</f>
        <v>2015 Q4</v>
      </c>
      <c r="O2" t="str">
        <f>IFERROR(IF(0=LEN(ReferenceData!$O$2),"",ReferenceData!$O$2),"")</f>
        <v>2015 Q3</v>
      </c>
      <c r="P2" t="str">
        <f>IFERROR(IF(0=LEN(ReferenceData!$P$2),"",ReferenceData!$P$2),"")</f>
        <v>2015 Q2</v>
      </c>
      <c r="Q2" t="str">
        <f>IFERROR(IF(0=LEN(ReferenceData!$Q$2),"",ReferenceData!$Q$2),"")</f>
        <v>2015 Q1</v>
      </c>
      <c r="R2" t="str">
        <f>IFERROR(IF(0=LEN(ReferenceData!$R$2),"",ReferenceData!$R$2),"")</f>
        <v>2014 Q4</v>
      </c>
      <c r="S2" t="str">
        <f>IFERROR(IF(0=LEN(ReferenceData!$S$2),"",ReferenceData!$S$2),"")</f>
        <v>2014 Q3</v>
      </c>
      <c r="T2" t="str">
        <f>IFERROR(IF(0=LEN(ReferenceData!$T$2),"",ReferenceData!$T$2),"")</f>
        <v>2014 Q2</v>
      </c>
      <c r="U2" t="str">
        <f>IFERROR(IF(0=LEN(ReferenceData!$U$2),"",ReferenceData!$U$2),"")</f>
        <v>2014 Q1</v>
      </c>
      <c r="V2" t="str">
        <f>IFERROR(IF(0=LEN(ReferenceData!$V$2),"",ReferenceData!$V$2),"")</f>
        <v>2013 Q4</v>
      </c>
      <c r="W2" t="str">
        <f>IFERROR(IF(0=LEN(ReferenceData!$W$2),"",ReferenceData!$W$2),"")</f>
        <v>2013 Q3</v>
      </c>
      <c r="X2" t="str">
        <f>IFERROR(IF(0=LEN(ReferenceData!$X$2),"",ReferenceData!$X$2),"")</f>
        <v>2013 Q2</v>
      </c>
      <c r="Y2" t="str">
        <f>IFERROR(IF(0=LEN(ReferenceData!$Y$2),"",ReferenceData!$Y$2),"")</f>
        <v>2013 Q1</v>
      </c>
      <c r="Z2" t="str">
        <f>IFERROR(IF(0=LEN(ReferenceData!$Z$2),"",ReferenceData!$Z$2),"")</f>
        <v>2012 Q4</v>
      </c>
      <c r="AA2" t="str">
        <f>IFERROR(IF(0=LEN(ReferenceData!$AA$2),"",ReferenceData!$AA$2),"")</f>
        <v>2012 Q3</v>
      </c>
      <c r="AB2" t="str">
        <f>IFERROR(IF(0=LEN(ReferenceData!$AB$2),"",ReferenceData!$AB$2),"")</f>
        <v>2012 Q2</v>
      </c>
      <c r="AC2" t="str">
        <f>IFERROR(IF(0=LEN(ReferenceData!$AC$2),"",ReferenceData!$AC$2),"")</f>
        <v>2012 Q1</v>
      </c>
      <c r="AD2" t="str">
        <f>IFERROR(IF(0=LEN(ReferenceData!$AD$2),"",ReferenceData!$AD$2),"")</f>
        <v>2011 Q4</v>
      </c>
      <c r="AE2" t="str">
        <f>IFERROR(IF(0=LEN(ReferenceData!$AE$2),"",ReferenceData!$AE$2),"")</f>
        <v>2011 Q3</v>
      </c>
      <c r="AF2" t="str">
        <f>IFERROR(IF(0=LEN(ReferenceData!$AF$2),"",ReferenceData!$AF$2),"")</f>
        <v>2011 Q2</v>
      </c>
      <c r="AG2" t="str">
        <f>IFERROR(IF(0=LEN(ReferenceData!$AG$2),"",ReferenceData!$AG$2),"")</f>
        <v>2011 Q1</v>
      </c>
      <c r="AH2" t="str">
        <f>IFERROR(IF(0=LEN(ReferenceData!$AH$2),"",ReferenceData!$AH$2),"")</f>
        <v>2010 Q4</v>
      </c>
      <c r="AI2" t="str">
        <f>IFERROR(IF(0=LEN(ReferenceData!$AI$2),"",ReferenceData!$AI$2),"")</f>
        <v>2010 Q3</v>
      </c>
      <c r="AJ2" t="str">
        <f>IFERROR(IF(0=LEN(ReferenceData!$AJ$2),"",ReferenceData!$AJ$2),"")</f>
        <v>2010 Q2</v>
      </c>
      <c r="AK2" t="str">
        <f>IFERROR(IF(0=LEN(ReferenceData!$AK$2),"",ReferenceData!$AK$2),"")</f>
        <v>2010 Q1</v>
      </c>
      <c r="AL2" t="str">
        <f>IFERROR(IF(0=LEN(ReferenceData!$AL$2),"",ReferenceData!$AL$2),"")</f>
        <v>2009 Q4</v>
      </c>
      <c r="AM2" t="str">
        <f>IFERROR(IF(0=LEN(ReferenceData!$AM$2),"",ReferenceData!$AM$2),"")</f>
        <v>2009 Q3</v>
      </c>
      <c r="AN2" t="str">
        <f>IFERROR(IF(0=LEN(ReferenceData!$AN$2),"",ReferenceData!$AN$2),"")</f>
        <v>2009 Q2</v>
      </c>
      <c r="AO2" t="str">
        <f>IFERROR(IF(0=LEN(ReferenceData!$AO$2),"",ReferenceData!$AO$2),"")</f>
        <v>2009 Q1</v>
      </c>
      <c r="AP2" t="str">
        <f>IFERROR(IF(0=LEN(ReferenceData!$AP$2),"",ReferenceData!$AP$2),"")</f>
        <v>2008 Q4</v>
      </c>
      <c r="AQ2" t="str">
        <f>IFERROR(IF(0=LEN(ReferenceData!$AQ$2),"",ReferenceData!$AQ$2),"")</f>
        <v>2008 Q3</v>
      </c>
      <c r="AR2" t="str">
        <f>IFERROR(IF(0=LEN(ReferenceData!$AR$2),"",ReferenceData!$AR$2),"")</f>
        <v>2008 Q2</v>
      </c>
      <c r="AS2" t="str">
        <f>IFERROR(IF(0=LEN(ReferenceData!$AS$2),"",ReferenceData!$AS$2),"")</f>
        <v>2008 Q1</v>
      </c>
      <c r="AT2" t="str">
        <f>IFERROR(IF(0=LEN(ReferenceData!$AT$2),"",ReferenceData!$AT$2),"")</f>
        <v>2007 Q4</v>
      </c>
      <c r="AU2" t="str">
        <f>IFERROR(IF(0=LEN(ReferenceData!$AU$2),"",ReferenceData!$AU$2),"")</f>
        <v>2007 Q3</v>
      </c>
      <c r="AV2" t="str">
        <f>IFERROR(IF(0=LEN(ReferenceData!$AV$2),"",ReferenceData!$AV$2),"")</f>
        <v>2007 Q2</v>
      </c>
      <c r="AW2" t="str">
        <f>IFERROR(IF(0=LEN(ReferenceData!$AW$2),"",ReferenceData!$AW$2),"")</f>
        <v>2007 Q1</v>
      </c>
      <c r="AX2" t="str">
        <f>IFERROR(IF(0=LEN(ReferenceData!$AX$2),"",ReferenceData!$AX$2),"")</f>
        <v>2006 Q4</v>
      </c>
      <c r="AY2" t="str">
        <f>IFERROR(IF(0=LEN(ReferenceData!$AY$2),"",ReferenceData!$AY$2),"")</f>
        <v>2006 Q3</v>
      </c>
      <c r="AZ2" t="str">
        <f>IFERROR(IF(0=LEN(ReferenceData!$AZ$2),"",ReferenceData!$AZ$2),"")</f>
        <v>2006 Q2</v>
      </c>
      <c r="BA2" t="str">
        <f>IFERROR(IF(0=LEN(ReferenceData!$BA$2),"",ReferenceData!$BA$2),"")</f>
        <v>2006 Q1</v>
      </c>
      <c r="BB2" t="str">
        <f>IFERROR(IF(0=LEN(ReferenceData!$BB$2),"",ReferenceData!$BB$2),"")</f>
        <v>2005 Q4</v>
      </c>
      <c r="BC2" t="str">
        <f>IFERROR(IF(0=LEN(ReferenceData!$BC$2),"",ReferenceData!$BC$2),"")</f>
        <v>2005 Q3</v>
      </c>
      <c r="BD2" t="str">
        <f>IFERROR(IF(0=LEN(ReferenceData!$BD$2),"",ReferenceData!$BD$2),"")</f>
        <v>2005 Q2</v>
      </c>
      <c r="BE2" t="str">
        <f>IFERROR(IF(0=LEN(ReferenceData!$BE$2),"",ReferenceData!$BE$2),"")</f>
        <v>2005 Q1</v>
      </c>
      <c r="BF2" t="str">
        <f>IFERROR(IF(0=LEN(ReferenceData!$BF$2),"",ReferenceData!$BF$2),"")</f>
        <v>2004 Q4</v>
      </c>
      <c r="BG2" t="str">
        <f>IFERROR(IF(0=LEN(ReferenceData!$BG$2),"",ReferenceData!$BG$2),"")</f>
        <v>2004 Q3</v>
      </c>
      <c r="BH2" t="str">
        <f>IFERROR(IF(0=LEN(ReferenceData!$BH$2),"",ReferenceData!$BH$2),"")</f>
        <v>2004 Q2</v>
      </c>
      <c r="BI2" t="str">
        <f>IFERROR(IF(0=LEN(ReferenceData!$BI$2),"",ReferenceData!$BI$2),"")</f>
        <v>2004 Q1</v>
      </c>
      <c r="BJ2" t="str">
        <f>IFERROR(IF(0=LEN(ReferenceData!$BJ$2),"",ReferenceData!$BJ$2),"")</f>
        <v>2003 Q4</v>
      </c>
      <c r="BK2" t="str">
        <f>IFERROR(IF(0=LEN(ReferenceData!$BK$2),"",ReferenceData!$BK$2),"")</f>
        <v>2003 Q3</v>
      </c>
      <c r="BL2" t="str">
        <f>IFERROR(IF(0=LEN(ReferenceData!$BL$2),"",ReferenceData!$BL$2),"")</f>
        <v>2003 Q2</v>
      </c>
      <c r="BM2" t="str">
        <f>IFERROR(IF(0=LEN(ReferenceData!$BM$2),"",ReferenceData!$BM$2),"")</f>
        <v>2003 Q1</v>
      </c>
    </row>
    <row r="3" spans="1:65">
      <c r="A3" t="str">
        <f>IFERROR(IF(0=LEN(ReferenceData!$A$3),"",ReferenceData!$A$3),"")</f>
        <v>办公物业房地产投资信托数据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静态</v>
      </c>
      <c r="F3" t="str">
        <f ca="1">IFERROR(IF(0=LEN(ReferenceData!$F$3),"",ReferenceData!$F$3),"")</f>
        <v/>
      </c>
      <c r="G3" t="str">
        <f ca="1">IFERROR(IF(0=LEN(ReferenceData!$G$3),"",ReferenceData!$G$3),"")</f>
        <v/>
      </c>
      <c r="H3" t="str">
        <f ca="1">IFERROR(IF(0=LEN(ReferenceData!$H$3),"",ReferenceData!$H$3),"")</f>
        <v/>
      </c>
      <c r="I3" t="str">
        <f ca="1">IFERROR(IF(0=LEN(ReferenceData!$I$3),"",ReferenceData!$I$3),"")</f>
        <v/>
      </c>
      <c r="J3" t="str">
        <f ca="1">IFERROR(IF(0=LEN(ReferenceData!$J$3),"",ReferenceData!$J$3),"")</f>
        <v/>
      </c>
      <c r="K3" t="str">
        <f ca="1">IFERROR(IF(0=LEN(ReferenceData!$K$3),"",ReferenceData!$K$3),"")</f>
        <v/>
      </c>
      <c r="L3" t="str">
        <f ca="1">IFERROR(IF(0=LEN(ReferenceData!$L$3),"",ReferenceData!$L$3),"")</f>
        <v/>
      </c>
      <c r="M3" t="str">
        <f ca="1">IFERROR(IF(0=LEN(ReferenceData!$M$3),"",ReferenceData!$M$3),"")</f>
        <v/>
      </c>
      <c r="N3" t="str">
        <f ca="1">IFERROR(IF(0=LEN(ReferenceData!$N$3),"",ReferenceData!$N$3),"")</f>
        <v/>
      </c>
      <c r="O3" t="str">
        <f ca="1">IFERROR(IF(0=LEN(ReferenceData!$O$3),"",ReferenceData!$O$3),"")</f>
        <v/>
      </c>
      <c r="P3" t="str">
        <f ca="1">IFERROR(IF(0=LEN(ReferenceData!$P$3),"",ReferenceData!$P$3),"")</f>
        <v/>
      </c>
      <c r="Q3" t="str">
        <f ca="1">IFERROR(IF(0=LEN(ReferenceData!$Q$3),"",ReferenceData!$Q$3),"")</f>
        <v/>
      </c>
      <c r="R3" t="str">
        <f ca="1">IFERROR(IF(0=LEN(ReferenceData!$R$3),"",ReferenceData!$R$3),"")</f>
        <v/>
      </c>
      <c r="S3" t="str">
        <f ca="1">IFERROR(IF(0=LEN(ReferenceData!$S$3),"",ReferenceData!$S$3),"")</f>
        <v/>
      </c>
      <c r="T3" t="str">
        <f ca="1">IFERROR(IF(0=LEN(ReferenceData!$T$3),"",ReferenceData!$T$3),"")</f>
        <v/>
      </c>
      <c r="U3" t="str">
        <f ca="1">IFERROR(IF(0=LEN(ReferenceData!$U$3),"",ReferenceData!$U$3),"")</f>
        <v/>
      </c>
      <c r="V3" t="str">
        <f ca="1">IFERROR(IF(0=LEN(ReferenceData!$V$3),"",ReferenceData!$V$3),"")</f>
        <v/>
      </c>
      <c r="W3" t="str">
        <f ca="1">IFERROR(IF(0=LEN(ReferenceData!$W$3),"",ReferenceData!$W$3),"")</f>
        <v/>
      </c>
      <c r="X3" t="str">
        <f ca="1">IFERROR(IF(0=LEN(ReferenceData!$X$3),"",ReferenceData!$X$3),"")</f>
        <v/>
      </c>
      <c r="Y3" t="str">
        <f ca="1">IFERROR(IF(0=LEN(ReferenceData!$Y$3),"",ReferenceData!$Y$3),"")</f>
        <v/>
      </c>
      <c r="Z3" t="str">
        <f ca="1">IFERROR(IF(0=LEN(ReferenceData!$Z$3),"",ReferenceData!$Z$3),"")</f>
        <v/>
      </c>
      <c r="AA3" t="str">
        <f ca="1">IFERROR(IF(0=LEN(ReferenceData!$AA$3),"",ReferenceData!$AA$3),"")</f>
        <v/>
      </c>
      <c r="AB3" t="str">
        <f ca="1">IFERROR(IF(0=LEN(ReferenceData!$AB$3),"",ReferenceData!$AB$3),"")</f>
        <v/>
      </c>
      <c r="AC3" t="str">
        <f ca="1">IFERROR(IF(0=LEN(ReferenceData!$AC$3),"",ReferenceData!$AC$3),"")</f>
        <v/>
      </c>
      <c r="AD3" t="str">
        <f ca="1">IFERROR(IF(0=LEN(ReferenceData!$AD$3),"",ReferenceData!$AD$3),"")</f>
        <v/>
      </c>
      <c r="AE3" t="str">
        <f ca="1">IFERROR(IF(0=LEN(ReferenceData!$AE$3),"",ReferenceData!$AE$3),"")</f>
        <v/>
      </c>
      <c r="AF3" t="str">
        <f ca="1">IFERROR(IF(0=LEN(ReferenceData!$AF$3),"",ReferenceData!$AF$3),"")</f>
        <v/>
      </c>
      <c r="AG3" t="str">
        <f ca="1">IFERROR(IF(0=LEN(ReferenceData!$AG$3),"",ReferenceData!$AG$3),"")</f>
        <v/>
      </c>
      <c r="AH3" t="str">
        <f ca="1">IFERROR(IF(0=LEN(ReferenceData!$AH$3),"",ReferenceData!$AH$3),"")</f>
        <v/>
      </c>
      <c r="AI3" t="str">
        <f ca="1">IFERROR(IF(0=LEN(ReferenceData!$AI$3),"",ReferenceData!$AI$3),"")</f>
        <v/>
      </c>
      <c r="AJ3" t="str">
        <f ca="1">IFERROR(IF(0=LEN(ReferenceData!$AJ$3),"",ReferenceData!$AJ$3),"")</f>
        <v/>
      </c>
      <c r="AK3" t="str">
        <f ca="1">IFERROR(IF(0=LEN(ReferenceData!$AK$3),"",ReferenceData!$AK$3),"")</f>
        <v/>
      </c>
      <c r="AL3" t="str">
        <f ca="1">IFERROR(IF(0=LEN(ReferenceData!$AL$3),"",ReferenceData!$AL$3),"")</f>
        <v/>
      </c>
      <c r="AM3" t="str">
        <f ca="1">IFERROR(IF(0=LEN(ReferenceData!$AM$3),"",ReferenceData!$AM$3),"")</f>
        <v/>
      </c>
      <c r="AN3" t="str">
        <f ca="1">IFERROR(IF(0=LEN(ReferenceData!$AN$3),"",ReferenceData!$AN$3),"")</f>
        <v/>
      </c>
      <c r="AO3" t="str">
        <f ca="1">IFERROR(IF(0=LEN(ReferenceData!$AO$3),"",ReferenceData!$AO$3),"")</f>
        <v/>
      </c>
      <c r="AP3" t="str">
        <f ca="1">IFERROR(IF(0=LEN(ReferenceData!$AP$3),"",ReferenceData!$AP$3),"")</f>
        <v/>
      </c>
      <c r="AQ3" t="str">
        <f ca="1">IFERROR(IF(0=LEN(ReferenceData!$AQ$3),"",ReferenceData!$AQ$3),"")</f>
        <v/>
      </c>
      <c r="AR3" t="str">
        <f ca="1">IFERROR(IF(0=LEN(ReferenceData!$AR$3),"",ReferenceData!$AR$3),"")</f>
        <v/>
      </c>
      <c r="AS3" t="str">
        <f ca="1">IFERROR(IF(0=LEN(ReferenceData!$AS$3),"",ReferenceData!$AS$3),"")</f>
        <v/>
      </c>
      <c r="AT3" t="str">
        <f ca="1">IFERROR(IF(0=LEN(ReferenceData!$AT$3),"",ReferenceData!$AT$3),"")</f>
        <v/>
      </c>
      <c r="AU3" t="str">
        <f ca="1">IFERROR(IF(0=LEN(ReferenceData!$AU$3),"",ReferenceData!$AU$3),"")</f>
        <v/>
      </c>
      <c r="AV3" t="str">
        <f ca="1">IFERROR(IF(0=LEN(ReferenceData!$AV$3),"",ReferenceData!$AV$3),"")</f>
        <v/>
      </c>
      <c r="AW3" t="str">
        <f ca="1">IFERROR(IF(0=LEN(ReferenceData!$AW$3),"",ReferenceData!$AW$3),"")</f>
        <v/>
      </c>
      <c r="AX3" t="str">
        <f ca="1">IFERROR(IF(0=LEN(ReferenceData!$AX$3),"",ReferenceData!$AX$3),"")</f>
        <v/>
      </c>
      <c r="AY3" t="str">
        <f ca="1">IFERROR(IF(0=LEN(ReferenceData!$AY$3),"",ReferenceData!$AY$3),"")</f>
        <v/>
      </c>
      <c r="AZ3" t="str">
        <f ca="1">IFERROR(IF(0=LEN(ReferenceData!$AZ$3),"",ReferenceData!$AZ$3),"")</f>
        <v/>
      </c>
      <c r="BA3" t="str">
        <f ca="1">IFERROR(IF(0=LEN(ReferenceData!$BA$3),"",ReferenceData!$BA$3),"")</f>
        <v/>
      </c>
      <c r="BB3" t="str">
        <f ca="1">IFERROR(IF(0=LEN(ReferenceData!$BB$3),"",ReferenceData!$BB$3),"")</f>
        <v/>
      </c>
      <c r="BC3" t="str">
        <f ca="1">IFERROR(IF(0=LEN(ReferenceData!$BC$3),"",ReferenceData!$BC$3),"")</f>
        <v/>
      </c>
      <c r="BD3" t="str">
        <f ca="1">IFERROR(IF(0=LEN(ReferenceData!$BD$3),"",ReferenceData!$BD$3),"")</f>
        <v/>
      </c>
      <c r="BE3" t="str">
        <f ca="1">IFERROR(IF(0=LEN(ReferenceData!$BE$3),"",ReferenceData!$BE$3),"")</f>
        <v/>
      </c>
      <c r="BF3" t="str">
        <f ca="1">IFERROR(IF(0=LEN(ReferenceData!$BF$3),"",ReferenceData!$BF$3),"")</f>
        <v/>
      </c>
      <c r="BG3" t="str">
        <f ca="1">IFERROR(IF(0=LEN(ReferenceData!$BG$3),"",ReferenceData!$BG$3),"")</f>
        <v/>
      </c>
      <c r="BH3" t="str">
        <f ca="1">IFERROR(IF(0=LEN(ReferenceData!$BH$3),"",ReferenceData!$BH$3),"")</f>
        <v/>
      </c>
      <c r="BI3" t="str">
        <f ca="1">IFERROR(IF(0=LEN(ReferenceData!$BI$3),"",ReferenceData!$BI$3),"")</f>
        <v/>
      </c>
      <c r="BJ3" t="str">
        <f ca="1">IFERROR(IF(0=LEN(ReferenceData!$BJ$3),"",ReferenceData!$BJ$3),"")</f>
        <v/>
      </c>
      <c r="BK3" t="str">
        <f ca="1">IFERROR(IF(0=LEN(ReferenceData!$BK$3),"",ReferenceData!$BK$3),"")</f>
        <v/>
      </c>
      <c r="BL3" t="str">
        <f ca="1">IFERROR(IF(0=LEN(ReferenceData!$BL$3),"",ReferenceData!$BL$3),"")</f>
        <v/>
      </c>
      <c r="BM3" t="str">
        <f ca="1">IFERROR(IF(0=LEN(ReferenceData!$BM$3),"",ReferenceData!$BM$3),"")</f>
        <v/>
      </c>
    </row>
    <row r="4" spans="1:65">
      <c r="A4" t="str">
        <f>IFERROR(IF(0=LEN(ReferenceData!$A$4),"",ReferenceData!$A$4),"")</f>
        <v xml:space="preserve">    办公楼房地产投资信托同店净营业利润增长</v>
      </c>
      <c r="B4" t="str">
        <f>IFERROR(IF(0=LEN(ReferenceData!$B$4),"",ReferenceData!$B$4),"")</f>
        <v>RECFSSOF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动态</v>
      </c>
      <c r="F4">
        <f ca="1">IFERROR(IF(0=LEN(ReferenceData!$F$4),"",ReferenceData!$F$4),"")</f>
        <v>2.7746050960000002</v>
      </c>
      <c r="G4">
        <f ca="1">IFERROR(IF(0=LEN(ReferenceData!$G$4),"",ReferenceData!$G$4),"")</f>
        <v>3.9324572789999999</v>
      </c>
      <c r="H4">
        <f ca="1">IFERROR(IF(0=LEN(ReferenceData!$H$4),"",ReferenceData!$H$4),"")</f>
        <v>3.4931212149999999</v>
      </c>
      <c r="I4">
        <f ca="1">IFERROR(IF(0=LEN(ReferenceData!$I$4),"",ReferenceData!$I$4),"")</f>
        <v>4.0421379809999998</v>
      </c>
      <c r="J4">
        <f ca="1">IFERROR(IF(0=LEN(ReferenceData!$J$4),"",ReferenceData!$J$4),"")</f>
        <v>3.6513449250000001</v>
      </c>
      <c r="K4">
        <f ca="1">IFERROR(IF(0=LEN(ReferenceData!$K$4),"",ReferenceData!$K$4),"")</f>
        <v>1.768250871</v>
      </c>
      <c r="L4">
        <f ca="1">IFERROR(IF(0=LEN(ReferenceData!$L$4),"",ReferenceData!$L$4),"")</f>
        <v>3.4183047110000002</v>
      </c>
      <c r="M4">
        <f ca="1">IFERROR(IF(0=LEN(ReferenceData!$M$4),"",ReferenceData!$M$4),"")</f>
        <v>5.1420110780000003</v>
      </c>
      <c r="N4">
        <f ca="1">IFERROR(IF(0=LEN(ReferenceData!$N$4),"",ReferenceData!$N$4),"")</f>
        <v>3.0909832339999999</v>
      </c>
      <c r="O4">
        <f ca="1">IFERROR(IF(0=LEN(ReferenceData!$O$4),"",ReferenceData!$O$4),"")</f>
        <v>2.2892894899999998</v>
      </c>
      <c r="P4">
        <f ca="1">IFERROR(IF(0=LEN(ReferenceData!$P$4),"",ReferenceData!$P$4),"")</f>
        <v>2.2801274290000002</v>
      </c>
      <c r="Q4">
        <f ca="1">IFERROR(IF(0=LEN(ReferenceData!$Q$4),"",ReferenceData!$Q$4),"")</f>
        <v>3.7487305430000002</v>
      </c>
      <c r="R4">
        <f ca="1">IFERROR(IF(0=LEN(ReferenceData!$R$4),"",ReferenceData!$R$4),"")</f>
        <v>4.1550428100000003</v>
      </c>
      <c r="S4">
        <f ca="1">IFERROR(IF(0=LEN(ReferenceData!$S$4),"",ReferenceData!$S$4),"")</f>
        <v>4.305784075</v>
      </c>
      <c r="T4">
        <f ca="1">IFERROR(IF(0=LEN(ReferenceData!$T$4),"",ReferenceData!$T$4),"")</f>
        <v>3.228060938</v>
      </c>
      <c r="U4">
        <f ca="1">IFERROR(IF(0=LEN(ReferenceData!$U$4),"",ReferenceData!$U$4),"")</f>
        <v>0.19823532899999999</v>
      </c>
      <c r="V4">
        <f ca="1">IFERROR(IF(0=LEN(ReferenceData!$V$4),"",ReferenceData!$V$4),"")</f>
        <v>3.1782030479999999</v>
      </c>
      <c r="W4">
        <f ca="1">IFERROR(IF(0=LEN(ReferenceData!$W$4),"",ReferenceData!$W$4),"")</f>
        <v>2.2074521620000001</v>
      </c>
      <c r="X4">
        <f ca="1">IFERROR(IF(0=LEN(ReferenceData!$X$4),"",ReferenceData!$X$4),"")</f>
        <v>3.518876369</v>
      </c>
      <c r="Y4">
        <f ca="1">IFERROR(IF(0=LEN(ReferenceData!$Y$4),"",ReferenceData!$Y$4),"")</f>
        <v>2.4214955630000001</v>
      </c>
      <c r="Z4">
        <f ca="1">IFERROR(IF(0=LEN(ReferenceData!$Z$4),"",ReferenceData!$Z$4),"")</f>
        <v>1.9639135109999999</v>
      </c>
      <c r="AA4">
        <f ca="1">IFERROR(IF(0=LEN(ReferenceData!$AA$4),"",ReferenceData!$AA$4),"")</f>
        <v>0.35070816199999999</v>
      </c>
      <c r="AB4">
        <f ca="1">IFERROR(IF(0=LEN(ReferenceData!$AB$4),"",ReferenceData!$AB$4),"")</f>
        <v>0.36322233100000001</v>
      </c>
      <c r="AC4">
        <f ca="1">IFERROR(IF(0=LEN(ReferenceData!$AC$4),"",ReferenceData!$AC$4),"")</f>
        <v>2.2847710010000002</v>
      </c>
      <c r="AD4">
        <f ca="1">IFERROR(IF(0=LEN(ReferenceData!$AD$4),"",ReferenceData!$AD$4),"")</f>
        <v>-0.90233592200000001</v>
      </c>
      <c r="AE4">
        <f ca="1">IFERROR(IF(0=LEN(ReferenceData!$AE$4),"",ReferenceData!$AE$4),"")</f>
        <v>0.928442879</v>
      </c>
      <c r="AF4">
        <f ca="1">IFERROR(IF(0=LEN(ReferenceData!$AF$4),"",ReferenceData!$AF$4),"")</f>
        <v>1.037064607</v>
      </c>
      <c r="AG4">
        <f ca="1">IFERROR(IF(0=LEN(ReferenceData!$AG$4),"",ReferenceData!$AG$4),"")</f>
        <v>-1.402062892</v>
      </c>
      <c r="AH4">
        <f ca="1">IFERROR(IF(0=LEN(ReferenceData!$AH$4),"",ReferenceData!$AH$4),"")</f>
        <v>-0.24291204999999999</v>
      </c>
      <c r="AI4">
        <f ca="1">IFERROR(IF(0=LEN(ReferenceData!$AI$4),"",ReferenceData!$AI$4),"")</f>
        <v>-2.32614075</v>
      </c>
      <c r="AJ4">
        <f ca="1">IFERROR(IF(0=LEN(ReferenceData!$AJ$4),"",ReferenceData!$AJ$4),"")</f>
        <v>-3.150922913</v>
      </c>
      <c r="AK4">
        <f ca="1">IFERROR(IF(0=LEN(ReferenceData!$AK$4),"",ReferenceData!$AK$4),"")</f>
        <v>-2.0340888879999999</v>
      </c>
      <c r="AL4">
        <f ca="1">IFERROR(IF(0=LEN(ReferenceData!$AL$4),"",ReferenceData!$AL$4),"")</f>
        <v>-1.5235137679999999</v>
      </c>
      <c r="AM4">
        <f ca="1">IFERROR(IF(0=LEN(ReferenceData!$AM$4),"",ReferenceData!$AM$4),"")</f>
        <v>-0.31767884899999999</v>
      </c>
      <c r="AN4">
        <f ca="1">IFERROR(IF(0=LEN(ReferenceData!$AN$4),"",ReferenceData!$AN$4),"")</f>
        <v>0.86619610899999999</v>
      </c>
      <c r="AO4">
        <f ca="1">IFERROR(IF(0=LEN(ReferenceData!$AO$4),"",ReferenceData!$AO$4),"")</f>
        <v>0.68224250099999995</v>
      </c>
      <c r="AP4">
        <f ca="1">IFERROR(IF(0=LEN(ReferenceData!$AP$4),"",ReferenceData!$AP$4),"")</f>
        <v>2.0367696460000002</v>
      </c>
      <c r="AQ4">
        <f ca="1">IFERROR(IF(0=LEN(ReferenceData!$AQ$4),"",ReferenceData!$AQ$4),"")</f>
        <v>2.6129088720000002</v>
      </c>
      <c r="AR4">
        <f ca="1">IFERROR(IF(0=LEN(ReferenceData!$AR$4),"",ReferenceData!$AR$4),"")</f>
        <v>3.5182341610000001</v>
      </c>
      <c r="AS4">
        <f ca="1">IFERROR(IF(0=LEN(ReferenceData!$AS$4),"",ReferenceData!$AS$4),"")</f>
        <v>4.2738464829999998</v>
      </c>
      <c r="AT4">
        <f ca="1">IFERROR(IF(0=LEN(ReferenceData!$AT$4),"",ReferenceData!$AT$4),"")</f>
        <v>0.12632320799999999</v>
      </c>
      <c r="AU4">
        <f ca="1">IFERROR(IF(0=LEN(ReferenceData!$AU$4),"",ReferenceData!$AU$4),"")</f>
        <v>2.6272893009999998</v>
      </c>
      <c r="AV4">
        <f ca="1">IFERROR(IF(0=LEN(ReferenceData!$AV$4),"",ReferenceData!$AV$4),"")</f>
        <v>2.8399634069999999</v>
      </c>
      <c r="AW4">
        <f ca="1">IFERROR(IF(0=LEN(ReferenceData!$AW$4),"",ReferenceData!$AW$4),"")</f>
        <v>2.7100113010000002</v>
      </c>
      <c r="AX4">
        <f ca="1">IFERROR(IF(0=LEN(ReferenceData!$AX$4),"",ReferenceData!$AX$4),"")</f>
        <v>6.5462735399999996</v>
      </c>
      <c r="AY4">
        <f ca="1">IFERROR(IF(0=LEN(ReferenceData!$AY$4),"",ReferenceData!$AY$4),"")</f>
        <v>2.115952396</v>
      </c>
      <c r="AZ4">
        <f ca="1">IFERROR(IF(0=LEN(ReferenceData!$AZ$4),"",ReferenceData!$AZ$4),"")</f>
        <v>0.81067504899999998</v>
      </c>
      <c r="BA4">
        <f ca="1">IFERROR(IF(0=LEN(ReferenceData!$BA$4),"",ReferenceData!$BA$4),"")</f>
        <v>-2.758033035</v>
      </c>
      <c r="BB4">
        <f ca="1">IFERROR(IF(0=LEN(ReferenceData!$BB$4),"",ReferenceData!$BB$4),"")</f>
        <v>-1.863088436</v>
      </c>
      <c r="BC4">
        <f ca="1">IFERROR(IF(0=LEN(ReferenceData!$BC$4),"",ReferenceData!$BC$4),"")</f>
        <v>-0.99029466700000002</v>
      </c>
      <c r="BD4">
        <f ca="1">IFERROR(IF(0=LEN(ReferenceData!$BD$4),"",ReferenceData!$BD$4),"")</f>
        <v>0.47314734800000002</v>
      </c>
      <c r="BE4">
        <f ca="1">IFERROR(IF(0=LEN(ReferenceData!$BE$4),"",ReferenceData!$BE$4),"")</f>
        <v>-2.7932083999999999E-2</v>
      </c>
      <c r="BF4">
        <f ca="1">IFERROR(IF(0=LEN(ReferenceData!$BF$4),"",ReferenceData!$BF$4),"")</f>
        <v>-1.5236284600000001</v>
      </c>
      <c r="BG4">
        <f ca="1">IFERROR(IF(0=LEN(ReferenceData!$BG$4),"",ReferenceData!$BG$4),"")</f>
        <v>-2.3343811319999999</v>
      </c>
      <c r="BH4">
        <f ca="1">IFERROR(IF(0=LEN(ReferenceData!$BH$4),"",ReferenceData!$BH$4),"")</f>
        <v>0.78361712699999997</v>
      </c>
      <c r="BI4">
        <f ca="1">IFERROR(IF(0=LEN(ReferenceData!$BI$4),"",ReferenceData!$BI$4),"")</f>
        <v>-2.6129890310000001</v>
      </c>
      <c r="BJ4">
        <f ca="1">IFERROR(IF(0=LEN(ReferenceData!$BJ$4),"",ReferenceData!$BJ$4),"")</f>
        <v>-3.824413925</v>
      </c>
      <c r="BK4">
        <f ca="1">IFERROR(IF(0=LEN(ReferenceData!$BK$4),"",ReferenceData!$BK$4),"")</f>
        <v>-4.0463486389999996</v>
      </c>
      <c r="BL4">
        <f ca="1">IFERROR(IF(0=LEN(ReferenceData!$BL$4),"",ReferenceData!$BL$4),"")</f>
        <v>-4.4274497420000003</v>
      </c>
      <c r="BM4">
        <f ca="1">IFERROR(IF(0=LEN(ReferenceData!$BM$4),"",ReferenceData!$BM$4),"")</f>
        <v>-4.9431923409999996</v>
      </c>
    </row>
    <row r="5" spans="1:65">
      <c r="A5" t="str">
        <f>IFERROR(IF(0=LEN(ReferenceData!$A$5),"",ReferenceData!$A$5),"")</f>
        <v xml:space="preserve">    办公楼房地产投资信托平均入住率</v>
      </c>
      <c r="B5" t="str">
        <f>IFERROR(IF(0=LEN(ReferenceData!$B$5),"",ReferenceData!$B$5),"")</f>
        <v>RECFAVOF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动态</v>
      </c>
      <c r="F5">
        <f ca="1">IFERROR(IF(0=LEN(ReferenceData!$F$5),"",ReferenceData!$F$5),"")</f>
        <v>91.855484039999993</v>
      </c>
      <c r="G5">
        <f ca="1">IFERROR(IF(0=LEN(ReferenceData!$G$5),"",ReferenceData!$G$5),"")</f>
        <v>91.344438729999993</v>
      </c>
      <c r="H5">
        <f ca="1">IFERROR(IF(0=LEN(ReferenceData!$H$5),"",ReferenceData!$H$5),"")</f>
        <v>91.186470130000004</v>
      </c>
      <c r="I5">
        <f ca="1">IFERROR(IF(0=LEN(ReferenceData!$I$5),"",ReferenceData!$I$5),"")</f>
        <v>90.980479829999993</v>
      </c>
      <c r="J5">
        <f ca="1">IFERROR(IF(0=LEN(ReferenceData!$J$5),"",ReferenceData!$J$5),"")</f>
        <v>91.929307019999996</v>
      </c>
      <c r="K5">
        <f ca="1">IFERROR(IF(0=LEN(ReferenceData!$K$5),"",ReferenceData!$K$5),"")</f>
        <v>91.138496459999999</v>
      </c>
      <c r="L5">
        <f ca="1">IFERROR(IF(0=LEN(ReferenceData!$L$5),"",ReferenceData!$L$5),"")</f>
        <v>91.214136569999994</v>
      </c>
      <c r="M5">
        <f ca="1">IFERROR(IF(0=LEN(ReferenceData!$M$5),"",ReferenceData!$M$5),"")</f>
        <v>92.029696209999997</v>
      </c>
      <c r="N5">
        <f ca="1">IFERROR(IF(0=LEN(ReferenceData!$N$5),"",ReferenceData!$N$5),"")</f>
        <v>91.685472700000005</v>
      </c>
      <c r="O5">
        <f ca="1">IFERROR(IF(0=LEN(ReferenceData!$O$5),"",ReferenceData!$O$5),"")</f>
        <v>91.275559270000002</v>
      </c>
      <c r="P5">
        <f ca="1">IFERROR(IF(0=LEN(ReferenceData!$P$5),"",ReferenceData!$P$5),"")</f>
        <v>91.399770889999999</v>
      </c>
      <c r="Q5">
        <f ca="1">IFERROR(IF(0=LEN(ReferenceData!$Q$5),"",ReferenceData!$Q$5),"")</f>
        <v>90.663645130000006</v>
      </c>
      <c r="R5">
        <f ca="1">IFERROR(IF(0=LEN(ReferenceData!$R$5),"",ReferenceData!$R$5),"")</f>
        <v>90.686209919999996</v>
      </c>
      <c r="S5">
        <f ca="1">IFERROR(IF(0=LEN(ReferenceData!$S$5),"",ReferenceData!$S$5),"")</f>
        <v>90.554403649999998</v>
      </c>
      <c r="T5">
        <f ca="1">IFERROR(IF(0=LEN(ReferenceData!$T$5),"",ReferenceData!$T$5),"")</f>
        <v>90.779080210000004</v>
      </c>
      <c r="U5">
        <f ca="1">IFERROR(IF(0=LEN(ReferenceData!$U$5),"",ReferenceData!$U$5),"")</f>
        <v>90.846091909999998</v>
      </c>
      <c r="V5">
        <f ca="1">IFERROR(IF(0=LEN(ReferenceData!$V$5),"",ReferenceData!$V$5),"")</f>
        <v>91.176086049999995</v>
      </c>
      <c r="W5">
        <f ca="1">IFERROR(IF(0=LEN(ReferenceData!$W$5),"",ReferenceData!$W$5),"")</f>
        <v>91.002148320000003</v>
      </c>
      <c r="X5">
        <f ca="1">IFERROR(IF(0=LEN(ReferenceData!$X$5),"",ReferenceData!$X$5),"")</f>
        <v>90.331488059999998</v>
      </c>
      <c r="Y5">
        <f ca="1">IFERROR(IF(0=LEN(ReferenceData!$Y$5),"",ReferenceData!$Y$5),"")</f>
        <v>89.678297520000001</v>
      </c>
      <c r="Z5">
        <f ca="1">IFERROR(IF(0=LEN(ReferenceData!$Z$5),"",ReferenceData!$Z$5),"")</f>
        <v>89.829140960000004</v>
      </c>
      <c r="AA5">
        <f ca="1">IFERROR(IF(0=LEN(ReferenceData!$AA$5),"",ReferenceData!$AA$5),"")</f>
        <v>88.741269070000001</v>
      </c>
      <c r="AB5">
        <f ca="1">IFERROR(IF(0=LEN(ReferenceData!$AB$5),"",ReferenceData!$AB$5),"")</f>
        <v>88.95819865</v>
      </c>
      <c r="AC5">
        <f ca="1">IFERROR(IF(0=LEN(ReferenceData!$AC$5),"",ReferenceData!$AC$5),"")</f>
        <v>88.931884789999998</v>
      </c>
      <c r="AD5">
        <f ca="1">IFERROR(IF(0=LEN(ReferenceData!$AD$5),"",ReferenceData!$AD$5),"")</f>
        <v>88.658478970000004</v>
      </c>
      <c r="AE5">
        <f ca="1">IFERROR(IF(0=LEN(ReferenceData!$AE$5),"",ReferenceData!$AE$5),"")</f>
        <v>88.383146670000002</v>
      </c>
      <c r="AF5">
        <f ca="1">IFERROR(IF(0=LEN(ReferenceData!$AF$5),"",ReferenceData!$AF$5),"")</f>
        <v>88.595616120000003</v>
      </c>
      <c r="AG5">
        <f ca="1">IFERROR(IF(0=LEN(ReferenceData!$AG$5),"",ReferenceData!$AG$5),"")</f>
        <v>88.019002610000001</v>
      </c>
      <c r="AH5">
        <f ca="1">IFERROR(IF(0=LEN(ReferenceData!$AH$5),"",ReferenceData!$AH$5),"")</f>
        <v>88.675381759999993</v>
      </c>
      <c r="AI5">
        <f ca="1">IFERROR(IF(0=LEN(ReferenceData!$AI$5),"",ReferenceData!$AI$5),"")</f>
        <v>87.918039620000002</v>
      </c>
      <c r="AJ5">
        <f ca="1">IFERROR(IF(0=LEN(ReferenceData!$AJ$5),"",ReferenceData!$AJ$5),"")</f>
        <v>87.975553410000003</v>
      </c>
      <c r="AK5">
        <f ca="1">IFERROR(IF(0=LEN(ReferenceData!$AK$5),"",ReferenceData!$AK$5),"")</f>
        <v>87.839192569999994</v>
      </c>
      <c r="AL5">
        <f ca="1">IFERROR(IF(0=LEN(ReferenceData!$AL$5),"",ReferenceData!$AL$5),"")</f>
        <v>88.732352809999995</v>
      </c>
      <c r="AM5">
        <f ca="1">IFERROR(IF(0=LEN(ReferenceData!$AM$5),"",ReferenceData!$AM$5),"")</f>
        <v>88.712703320000003</v>
      </c>
      <c r="AN5">
        <f ca="1">IFERROR(IF(0=LEN(ReferenceData!$AN$5),"",ReferenceData!$AN$5),"")</f>
        <v>89.133439050000007</v>
      </c>
      <c r="AO5">
        <f ca="1">IFERROR(IF(0=LEN(ReferenceData!$AO$5),"",ReferenceData!$AO$5),"")</f>
        <v>90.038582469999994</v>
      </c>
      <c r="AP5">
        <f ca="1">IFERROR(IF(0=LEN(ReferenceData!$AP$5),"",ReferenceData!$AP$5),"")</f>
        <v>90.768096999999997</v>
      </c>
      <c r="AQ5">
        <f ca="1">IFERROR(IF(0=LEN(ReferenceData!$AQ$5),"",ReferenceData!$AQ$5),"")</f>
        <v>91.285400460000005</v>
      </c>
      <c r="AR5">
        <f ca="1">IFERROR(IF(0=LEN(ReferenceData!$AR$5),"",ReferenceData!$AR$5),"")</f>
        <v>91.416728989999996</v>
      </c>
      <c r="AS5">
        <f ca="1">IFERROR(IF(0=LEN(ReferenceData!$AS$5),"",ReferenceData!$AS$5),"")</f>
        <v>91.497210280000004</v>
      </c>
      <c r="AT5">
        <f ca="1">IFERROR(IF(0=LEN(ReferenceData!$AT$5),"",ReferenceData!$AT$5),"")</f>
        <v>91.854679599999997</v>
      </c>
      <c r="AU5">
        <f ca="1">IFERROR(IF(0=LEN(ReferenceData!$AU$5),"",ReferenceData!$AU$5),"")</f>
        <v>91.412150600000004</v>
      </c>
      <c r="AV5">
        <f ca="1">IFERROR(IF(0=LEN(ReferenceData!$AV$5),"",ReferenceData!$AV$5),"")</f>
        <v>91.105825620000005</v>
      </c>
      <c r="AW5">
        <f ca="1">IFERROR(IF(0=LEN(ReferenceData!$AW$5),"",ReferenceData!$AW$5),"")</f>
        <v>91.11459223</v>
      </c>
      <c r="AX5">
        <f ca="1">IFERROR(IF(0=LEN(ReferenceData!$AX$5),"",ReferenceData!$AX$5),"")</f>
        <v>91.719706090000003</v>
      </c>
      <c r="AY5">
        <f ca="1">IFERROR(IF(0=LEN(ReferenceData!$AY$5),"",ReferenceData!$AY$5),"")</f>
        <v>91.433660990000007</v>
      </c>
      <c r="AZ5">
        <f ca="1">IFERROR(IF(0=LEN(ReferenceData!$AZ$5),"",ReferenceData!$AZ$5),"")</f>
        <v>90.909155170000005</v>
      </c>
      <c r="BA5">
        <f ca="1">IFERROR(IF(0=LEN(ReferenceData!$BA$5),"",ReferenceData!$BA$5),"")</f>
        <v>90.984844480000007</v>
      </c>
      <c r="BB5">
        <f ca="1">IFERROR(IF(0=LEN(ReferenceData!$BB$5),"",ReferenceData!$BB$5),"")</f>
        <v>90.844650619999996</v>
      </c>
      <c r="BC5">
        <f ca="1">IFERROR(IF(0=LEN(ReferenceData!$BC$5),"",ReferenceData!$BC$5),"")</f>
        <v>90.329008680000001</v>
      </c>
      <c r="BD5">
        <f ca="1">IFERROR(IF(0=LEN(ReferenceData!$BD$5),"",ReferenceData!$BD$5),"")</f>
        <v>89.803835280000001</v>
      </c>
      <c r="BE5">
        <f ca="1">IFERROR(IF(0=LEN(ReferenceData!$BE$5),"",ReferenceData!$BE$5),"")</f>
        <v>90.110291770000003</v>
      </c>
      <c r="BF5">
        <f ca="1">IFERROR(IF(0=LEN(ReferenceData!$BF$5),"",ReferenceData!$BF$5),"")</f>
        <v>90.412511420000001</v>
      </c>
      <c r="BG5">
        <f ca="1">IFERROR(IF(0=LEN(ReferenceData!$BG$5),"",ReferenceData!$BG$5),"")</f>
        <v>90.309410850000006</v>
      </c>
      <c r="BH5">
        <f ca="1">IFERROR(IF(0=LEN(ReferenceData!$BH$5),"",ReferenceData!$BH$5),"")</f>
        <v>90.261910490000005</v>
      </c>
      <c r="BI5">
        <f ca="1">IFERROR(IF(0=LEN(ReferenceData!$BI$5),"",ReferenceData!$BI$5),"")</f>
        <v>89.715663390000003</v>
      </c>
      <c r="BJ5">
        <f ca="1">IFERROR(IF(0=LEN(ReferenceData!$BJ$5),"",ReferenceData!$BJ$5),"")</f>
        <v>90.596995849999999</v>
      </c>
      <c r="BK5">
        <f ca="1">IFERROR(IF(0=LEN(ReferenceData!$BK$5),"",ReferenceData!$BK$5),"")</f>
        <v>89.717458629999996</v>
      </c>
      <c r="BL5">
        <f ca="1">IFERROR(IF(0=LEN(ReferenceData!$BL$5),"",ReferenceData!$BL$5),"")</f>
        <v>90.290558009999998</v>
      </c>
      <c r="BM5">
        <f ca="1">IFERROR(IF(0=LEN(ReferenceData!$BM$5),"",ReferenceData!$BM$5),"")</f>
        <v>90.923698439999995</v>
      </c>
    </row>
    <row r="6" spans="1:65">
      <c r="A6" t="str">
        <f>IFERROR(IF(0=LEN(ReferenceData!$A$6),"",ReferenceData!$A$6),"")</f>
        <v xml:space="preserve">    办公楼房地产投资信托总营运现金流</v>
      </c>
      <c r="B6" t="str">
        <f>IFERROR(IF(0=LEN(ReferenceData!$B$6),"",ReferenceData!$B$6),"")</f>
        <v>RECFFOOF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动态</v>
      </c>
      <c r="F6">
        <f ca="1">IFERROR(IF(0=LEN(ReferenceData!$F$6),"",ReferenceData!$F$6),"")</f>
        <v>1541.311095</v>
      </c>
      <c r="G6">
        <f ca="1">IFERROR(IF(0=LEN(ReferenceData!$G$6),"",ReferenceData!$G$6),"")</f>
        <v>1573.8009999999999</v>
      </c>
      <c r="H6">
        <f ca="1">IFERROR(IF(0=LEN(ReferenceData!$H$6),"",ReferenceData!$H$6),"")</f>
        <v>1686.088</v>
      </c>
      <c r="I6">
        <f ca="1">IFERROR(IF(0=LEN(ReferenceData!$I$6),"",ReferenceData!$I$6),"")</f>
        <v>1568.1559999999999</v>
      </c>
      <c r="J6">
        <f ca="1">IFERROR(IF(0=LEN(ReferenceData!$J$6),"",ReferenceData!$J$6),"")</f>
        <v>1461.4069999999999</v>
      </c>
      <c r="K6">
        <f ca="1">IFERROR(IF(0=LEN(ReferenceData!$K$6),"",ReferenceData!$K$6),"")</f>
        <v>1495.355</v>
      </c>
      <c r="L6">
        <f ca="1">IFERROR(IF(0=LEN(ReferenceData!$L$6),"",ReferenceData!$L$6),"")</f>
        <v>1777.163</v>
      </c>
      <c r="M6">
        <f ca="1">IFERROR(IF(0=LEN(ReferenceData!$M$6),"",ReferenceData!$M$6),"")</f>
        <v>1547.393</v>
      </c>
      <c r="N6">
        <f ca="1">IFERROR(IF(0=LEN(ReferenceData!$N$6),"",ReferenceData!$N$6),"")</f>
        <v>1453.9179999999999</v>
      </c>
      <c r="O6">
        <f ca="1">IFERROR(IF(0=LEN(ReferenceData!$O$6),"",ReferenceData!$O$6),"")</f>
        <v>1784.2529999999999</v>
      </c>
      <c r="P6">
        <f ca="1">IFERROR(IF(0=LEN(ReferenceData!$P$6),"",ReferenceData!$P$6),"")</f>
        <v>1485.117</v>
      </c>
      <c r="Q6">
        <f ca="1">IFERROR(IF(0=LEN(ReferenceData!$Q$6),"",ReferenceData!$Q$6),"")</f>
        <v>1431.0630000000001</v>
      </c>
      <c r="R6">
        <f ca="1">IFERROR(IF(0=LEN(ReferenceData!$R$6),"",ReferenceData!$R$6),"")</f>
        <v>1392.463</v>
      </c>
      <c r="S6">
        <f ca="1">IFERROR(IF(0=LEN(ReferenceData!$S$6),"",ReferenceData!$S$6),"")</f>
        <v>1529.3630000000001</v>
      </c>
      <c r="T6">
        <f ca="1">IFERROR(IF(0=LEN(ReferenceData!$T$6),"",ReferenceData!$T$6),"")</f>
        <v>1332.5519999999999</v>
      </c>
      <c r="U6">
        <f ca="1">IFERROR(IF(0=LEN(ReferenceData!$U$6),"",ReferenceData!$U$6),"")</f>
        <v>1261.1969999999999</v>
      </c>
      <c r="V6">
        <f ca="1">IFERROR(IF(0=LEN(ReferenceData!$V$6),"",ReferenceData!$V$6),"")</f>
        <v>1453.8</v>
      </c>
      <c r="W6">
        <f ca="1">IFERROR(IF(0=LEN(ReferenceData!$W$6),"",ReferenceData!$W$6),"")</f>
        <v>1127.4069999999999</v>
      </c>
      <c r="X6">
        <f ca="1">IFERROR(IF(0=LEN(ReferenceData!$X$6),"",ReferenceData!$X$6),"")</f>
        <v>1110.8879999999999</v>
      </c>
      <c r="Y6">
        <f ca="1">IFERROR(IF(0=LEN(ReferenceData!$Y$6),"",ReferenceData!$Y$6),"")</f>
        <v>1024.7380000000001</v>
      </c>
      <c r="Z6">
        <f ca="1">IFERROR(IF(0=LEN(ReferenceData!$Z$6),"",ReferenceData!$Z$6),"")</f>
        <v>1077.865</v>
      </c>
      <c r="AA6">
        <f ca="1">IFERROR(IF(0=LEN(ReferenceData!$AA$6),"",ReferenceData!$AA$6),"")</f>
        <v>1059.337</v>
      </c>
      <c r="AB6">
        <f ca="1">IFERROR(IF(0=LEN(ReferenceData!$AB$6),"",ReferenceData!$AB$6),"")</f>
        <v>1131.4949999999999</v>
      </c>
      <c r="AC6">
        <f ca="1">IFERROR(IF(0=LEN(ReferenceData!$AC$6),"",ReferenceData!$AC$6),"")</f>
        <v>948.399</v>
      </c>
      <c r="AD6">
        <f ca="1">IFERROR(IF(0=LEN(ReferenceData!$AD$6),"",ReferenceData!$AD$6),"")</f>
        <v>865.76</v>
      </c>
      <c r="AE6">
        <f ca="1">IFERROR(IF(0=LEN(ReferenceData!$AE$6),"",ReferenceData!$AE$6),"")</f>
        <v>1007.294</v>
      </c>
      <c r="AF6">
        <f ca="1">IFERROR(IF(0=LEN(ReferenceData!$AF$6),"",ReferenceData!$AF$6),"")</f>
        <v>1003.9</v>
      </c>
      <c r="AG6">
        <f ca="1">IFERROR(IF(0=LEN(ReferenceData!$AG$6),"",ReferenceData!$AG$6),"")</f>
        <v>892.14599999999996</v>
      </c>
      <c r="AH6">
        <f ca="1">IFERROR(IF(0=LEN(ReferenceData!$AH$6),"",ReferenceData!$AH$6),"")</f>
        <v>803.524</v>
      </c>
      <c r="AI6">
        <f ca="1">IFERROR(IF(0=LEN(ReferenceData!$AI$6),"",ReferenceData!$AI$6),"")</f>
        <v>906.11300000000006</v>
      </c>
      <c r="AJ6">
        <f ca="1">IFERROR(IF(0=LEN(ReferenceData!$AJ$6),"",ReferenceData!$AJ$6),"")</f>
        <v>713.49599999999998</v>
      </c>
      <c r="AK6">
        <f ca="1">IFERROR(IF(0=LEN(ReferenceData!$AK$6),"",ReferenceData!$AK$6),"")</f>
        <v>865.596</v>
      </c>
      <c r="AL6">
        <f ca="1">IFERROR(IF(0=LEN(ReferenceData!$AL$6),"",ReferenceData!$AL$6),"")</f>
        <v>322.61500000000001</v>
      </c>
      <c r="AM6">
        <f ca="1">IFERROR(IF(0=LEN(ReferenceData!$AM$6),"",ReferenceData!$AM$6),"")</f>
        <v>769.83500000000004</v>
      </c>
      <c r="AN6">
        <f ca="1">IFERROR(IF(0=LEN(ReferenceData!$AN$6),"",ReferenceData!$AN$6),"")</f>
        <v>451.85500000000002</v>
      </c>
      <c r="AO6">
        <f ca="1">IFERROR(IF(0=LEN(ReferenceData!$AO$6),"",ReferenceData!$AO$6),"")</f>
        <v>736.95100000000002</v>
      </c>
      <c r="AP6">
        <f ca="1">IFERROR(IF(0=LEN(ReferenceData!$AP$6),"",ReferenceData!$AP$6),"")</f>
        <v>458.34199999999998</v>
      </c>
      <c r="AQ6">
        <f ca="1">IFERROR(IF(0=LEN(ReferenceData!$AQ$6),"",ReferenceData!$AQ$6),"")</f>
        <v>721.50099999999998</v>
      </c>
      <c r="AR6">
        <f ca="1">IFERROR(IF(0=LEN(ReferenceData!$AR$6),"",ReferenceData!$AR$6),"")</f>
        <v>707.32399999999996</v>
      </c>
      <c r="AS6">
        <f ca="1">IFERROR(IF(0=LEN(ReferenceData!$AS$6),"",ReferenceData!$AS$6),"")</f>
        <v>720.09500000000003</v>
      </c>
      <c r="AT6">
        <f ca="1">IFERROR(IF(0=LEN(ReferenceData!$AT$6),"",ReferenceData!$AT$6),"")</f>
        <v>736.63049999999998</v>
      </c>
      <c r="AU6">
        <f ca="1">IFERROR(IF(0=LEN(ReferenceData!$AU$6),"",ReferenceData!$AU$6),"")</f>
        <v>769.25800000000004</v>
      </c>
      <c r="AV6">
        <f ca="1">IFERROR(IF(0=LEN(ReferenceData!$AV$6),"",ReferenceData!$AV$6),"")</f>
        <v>731.25800000000004</v>
      </c>
      <c r="AW6">
        <f ca="1">IFERROR(IF(0=LEN(ReferenceData!$AW$6),"",ReferenceData!$AW$6),"")</f>
        <v>823.322</v>
      </c>
      <c r="AX6">
        <f ca="1">IFERROR(IF(0=LEN(ReferenceData!$AX$6),"",ReferenceData!$AX$6),"")</f>
        <v>847.678</v>
      </c>
      <c r="AY6">
        <f ca="1">IFERROR(IF(0=LEN(ReferenceData!$AY$6),"",ReferenceData!$AY$6),"")</f>
        <v>665.48500000000001</v>
      </c>
      <c r="AZ6">
        <f ca="1">IFERROR(IF(0=LEN(ReferenceData!$AZ$6),"",ReferenceData!$AZ$6),"")</f>
        <v>970.92700000000002</v>
      </c>
      <c r="BA6">
        <f ca="1">IFERROR(IF(0=LEN(ReferenceData!$BA$6),"",ReferenceData!$BA$6),"")</f>
        <v>1020.359</v>
      </c>
      <c r="BB6">
        <f ca="1">IFERROR(IF(0=LEN(ReferenceData!$BB$6),"",ReferenceData!$BB$6),"")</f>
        <v>877.21</v>
      </c>
      <c r="BC6">
        <f ca="1">IFERROR(IF(0=LEN(ReferenceData!$BC$6),"",ReferenceData!$BC$6),"")</f>
        <v>1034.904</v>
      </c>
      <c r="BD6">
        <f ca="1">IFERROR(IF(0=LEN(ReferenceData!$BD$6),"",ReferenceData!$BD$6),"")</f>
        <v>762.88699999999994</v>
      </c>
      <c r="BE6">
        <f ca="1">IFERROR(IF(0=LEN(ReferenceData!$BE$6),"",ReferenceData!$BE$6),"")</f>
        <v>1043.0889999999999</v>
      </c>
      <c r="BF6">
        <f ca="1">IFERROR(IF(0=LEN(ReferenceData!$BF$6),"",ReferenceData!$BF$6),"")</f>
        <v>1048.6415</v>
      </c>
      <c r="BG6">
        <f ca="1">IFERROR(IF(0=LEN(ReferenceData!$BG$6),"",ReferenceData!$BG$6),"")</f>
        <v>881.43399999999997</v>
      </c>
      <c r="BH6">
        <f ca="1">IFERROR(IF(0=LEN(ReferenceData!$BH$6),"",ReferenceData!$BH$6),"")</f>
        <v>897.46199999999999</v>
      </c>
      <c r="BI6">
        <f ca="1">IFERROR(IF(0=LEN(ReferenceData!$BI$6),"",ReferenceData!$BI$6),"")</f>
        <v>1040.8430000000001</v>
      </c>
      <c r="BJ6">
        <f ca="1">IFERROR(IF(0=LEN(ReferenceData!$BJ$6),"",ReferenceData!$BJ$6),"")</f>
        <v>1011.684</v>
      </c>
      <c r="BK6">
        <f ca="1">IFERROR(IF(0=LEN(ReferenceData!$BK$6),"",ReferenceData!$BK$6),"")</f>
        <v>1093.9780000000001</v>
      </c>
      <c r="BL6">
        <f ca="1">IFERROR(IF(0=LEN(ReferenceData!$BL$6),"",ReferenceData!$BL$6),"")</f>
        <v>1004.643</v>
      </c>
      <c r="BM6">
        <f ca="1">IFERROR(IF(0=LEN(ReferenceData!$BM$6),"",ReferenceData!$BM$6),"")</f>
        <v>1089.614</v>
      </c>
    </row>
    <row r="7" spans="1:65">
      <c r="A7" t="str">
        <f>IFERROR(IF(0=LEN(ReferenceData!$A$7),"",ReferenceData!$A$7),"")</f>
        <v xml:space="preserve">    办公楼房地产投资信托净营业利润</v>
      </c>
      <c r="B7" t="str">
        <f>IFERROR(IF(0=LEN(ReferenceData!$B$7),"",ReferenceData!$B$7),"")</f>
        <v>RECFNOOF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动态</v>
      </c>
      <c r="F7">
        <f ca="1">IFERROR(IF(0=LEN(ReferenceData!$F$7),"",ReferenceData!$F$7),"")</f>
        <v>2265.1098149999998</v>
      </c>
      <c r="G7">
        <f ca="1">IFERROR(IF(0=LEN(ReferenceData!$G$7),"",ReferenceData!$G$7),"")</f>
        <v>2263.0129999999999</v>
      </c>
      <c r="H7">
        <f ca="1">IFERROR(IF(0=LEN(ReferenceData!$H$7),"",ReferenceData!$H$7),"")</f>
        <v>2360.5140000000001</v>
      </c>
      <c r="I7">
        <f ca="1">IFERROR(IF(0=LEN(ReferenceData!$I$7),"",ReferenceData!$I$7),"")</f>
        <v>2315.9119999999998</v>
      </c>
      <c r="J7">
        <f ca="1">IFERROR(IF(0=LEN(ReferenceData!$J$7),"",ReferenceData!$J$7),"")</f>
        <v>2273.4609999999998</v>
      </c>
      <c r="K7">
        <f ca="1">IFERROR(IF(0=LEN(ReferenceData!$K$7),"",ReferenceData!$K$7),"")</f>
        <v>2213.7199999999998</v>
      </c>
      <c r="L7">
        <f ca="1">IFERROR(IF(0=LEN(ReferenceData!$L$7),"",ReferenceData!$L$7),"")</f>
        <v>2458.768</v>
      </c>
      <c r="M7">
        <f ca="1">IFERROR(IF(0=LEN(ReferenceData!$M$7),"",ReferenceData!$M$7),"")</f>
        <v>2436.2310000000002</v>
      </c>
      <c r="N7">
        <f ca="1">IFERROR(IF(0=LEN(ReferenceData!$N$7),"",ReferenceData!$N$7),"")</f>
        <v>2294.8629999999998</v>
      </c>
      <c r="O7">
        <f ca="1">IFERROR(IF(0=LEN(ReferenceData!$O$7),"",ReferenceData!$O$7),"")</f>
        <v>2453.8789999999999</v>
      </c>
      <c r="P7">
        <f ca="1">IFERROR(IF(0=LEN(ReferenceData!$P$7),"",ReferenceData!$P$7),"")</f>
        <v>2424.4850000000001</v>
      </c>
      <c r="Q7">
        <f ca="1">IFERROR(IF(0=LEN(ReferenceData!$Q$7),"",ReferenceData!$Q$7),"")</f>
        <v>2154.7550000000001</v>
      </c>
      <c r="R7">
        <f ca="1">IFERROR(IF(0=LEN(ReferenceData!$R$7),"",ReferenceData!$R$7),"")</f>
        <v>2101.2809999999999</v>
      </c>
      <c r="S7">
        <f ca="1">IFERROR(IF(0=LEN(ReferenceData!$S$7),"",ReferenceData!$S$7),"")</f>
        <v>2036.7439999999999</v>
      </c>
      <c r="T7">
        <f ca="1">IFERROR(IF(0=LEN(ReferenceData!$T$7),"",ReferenceData!$T$7),"")</f>
        <v>2001.278</v>
      </c>
      <c r="U7">
        <f ca="1">IFERROR(IF(0=LEN(ReferenceData!$U$7),"",ReferenceData!$U$7),"")</f>
        <v>1888.8</v>
      </c>
      <c r="V7">
        <f ca="1">IFERROR(IF(0=LEN(ReferenceData!$V$7),"",ReferenceData!$V$7),"")</f>
        <v>1822.3209999999999</v>
      </c>
      <c r="W7">
        <f ca="1">IFERROR(IF(0=LEN(ReferenceData!$W$7),"",ReferenceData!$W$7),"")</f>
        <v>1696.683</v>
      </c>
      <c r="X7">
        <f ca="1">IFERROR(IF(0=LEN(ReferenceData!$X$7),"",ReferenceData!$X$7),"")</f>
        <v>1749.3979999999999</v>
      </c>
      <c r="Y7">
        <f ca="1">IFERROR(IF(0=LEN(ReferenceData!$Y$7),"",ReferenceData!$Y$7),"")</f>
        <v>1652.511</v>
      </c>
      <c r="Z7">
        <f ca="1">IFERROR(IF(0=LEN(ReferenceData!$Z$7),"",ReferenceData!$Z$7),"")</f>
        <v>1618.3589999999999</v>
      </c>
      <c r="AA7">
        <f ca="1">IFERROR(IF(0=LEN(ReferenceData!$AA$7),"",ReferenceData!$AA$7),"")</f>
        <v>1617.3130000000001</v>
      </c>
      <c r="AB7">
        <f ca="1">IFERROR(IF(0=LEN(ReferenceData!$AB$7),"",ReferenceData!$AB$7),"")</f>
        <v>1616.0139999999999</v>
      </c>
      <c r="AC7">
        <f ca="1">IFERROR(IF(0=LEN(ReferenceData!$AC$7),"",ReferenceData!$AC$7),"")</f>
        <v>1542.748</v>
      </c>
      <c r="AD7">
        <f ca="1">IFERROR(IF(0=LEN(ReferenceData!$AD$7),"",ReferenceData!$AD$7),"")</f>
        <v>1522.9449999999999</v>
      </c>
      <c r="AE7">
        <f ca="1">IFERROR(IF(0=LEN(ReferenceData!$AE$7),"",ReferenceData!$AE$7),"")</f>
        <v>1525.596</v>
      </c>
      <c r="AF7">
        <f ca="1">IFERROR(IF(0=LEN(ReferenceData!$AF$7),"",ReferenceData!$AF$7),"")</f>
        <v>1525.0029999999999</v>
      </c>
      <c r="AG7">
        <f ca="1">IFERROR(IF(0=LEN(ReferenceData!$AG$7),"",ReferenceData!$AG$7),"")</f>
        <v>1479.1669999999999</v>
      </c>
      <c r="AH7">
        <f ca="1">IFERROR(IF(0=LEN(ReferenceData!$AH$7),"",ReferenceData!$AH$7),"")</f>
        <v>1431.18</v>
      </c>
      <c r="AI7">
        <f ca="1">IFERROR(IF(0=LEN(ReferenceData!$AI$7),"",ReferenceData!$AI$7),"")</f>
        <v>1401.5060000000001</v>
      </c>
      <c r="AJ7">
        <f ca="1">IFERROR(IF(0=LEN(ReferenceData!$AJ$7),"",ReferenceData!$AJ$7),"")</f>
        <v>1385.6510000000001</v>
      </c>
      <c r="AK7">
        <f ca="1">IFERROR(IF(0=LEN(ReferenceData!$AK$7),"",ReferenceData!$AK$7),"")</f>
        <v>1374.548</v>
      </c>
      <c r="AL7">
        <f ca="1">IFERROR(IF(0=LEN(ReferenceData!$AL$7),"",ReferenceData!$AL$7),"")</f>
        <v>1275.731</v>
      </c>
      <c r="AM7">
        <f ca="1">IFERROR(IF(0=LEN(ReferenceData!$AM$7),"",ReferenceData!$AM$7),"")</f>
        <v>1273.7260000000001</v>
      </c>
      <c r="AN7">
        <f ca="1">IFERROR(IF(0=LEN(ReferenceData!$AN$7),"",ReferenceData!$AN$7),"")</f>
        <v>1313.2719999999999</v>
      </c>
      <c r="AO7">
        <f ca="1">IFERROR(IF(0=LEN(ReferenceData!$AO$7),"",ReferenceData!$AO$7),"")</f>
        <v>1303.9010000000001</v>
      </c>
      <c r="AP7">
        <f ca="1">IFERROR(IF(0=LEN(ReferenceData!$AP$7),"",ReferenceData!$AP$7),"")</f>
        <v>1314.9614999999999</v>
      </c>
      <c r="AQ7">
        <f ca="1">IFERROR(IF(0=LEN(ReferenceData!$AQ$7),"",ReferenceData!$AQ$7),"")</f>
        <v>1265.635</v>
      </c>
      <c r="AR7">
        <f ca="1">IFERROR(IF(0=LEN(ReferenceData!$AR$7),"",ReferenceData!$AR$7),"")</f>
        <v>1257.402</v>
      </c>
      <c r="AS7">
        <f ca="1">IFERROR(IF(0=LEN(ReferenceData!$AS$7),"",ReferenceData!$AS$7),"")</f>
        <v>1246.0229999999999</v>
      </c>
      <c r="AT7">
        <f ca="1">IFERROR(IF(0=LEN(ReferenceData!$AT$7),"",ReferenceData!$AT$7),"")</f>
        <v>1168.384</v>
      </c>
      <c r="AU7">
        <f ca="1">IFERROR(IF(0=LEN(ReferenceData!$AU$7),"",ReferenceData!$AU$7),"")</f>
        <v>1329.883</v>
      </c>
      <c r="AV7">
        <f ca="1">IFERROR(IF(0=LEN(ReferenceData!$AV$7),"",ReferenceData!$AV$7),"")</f>
        <v>1265.251</v>
      </c>
      <c r="AW7">
        <f ca="1">IFERROR(IF(0=LEN(ReferenceData!$AW$7),"",ReferenceData!$AW$7),"")</f>
        <v>1262.317</v>
      </c>
      <c r="AX7">
        <f ca="1">IFERROR(IF(0=LEN(ReferenceData!$AX$7),"",ReferenceData!$AX$7),"")</f>
        <v>1766.2460000000001</v>
      </c>
      <c r="AY7">
        <f ca="1">IFERROR(IF(0=LEN(ReferenceData!$AY$7),"",ReferenceData!$AY$7),"")</f>
        <v>1704.357</v>
      </c>
      <c r="AZ7">
        <f ca="1">IFERROR(IF(0=LEN(ReferenceData!$AZ$7),"",ReferenceData!$AZ$7),"")</f>
        <v>1841.501</v>
      </c>
      <c r="BA7">
        <f ca="1">IFERROR(IF(0=LEN(ReferenceData!$BA$7),"",ReferenceData!$BA$7),"")</f>
        <v>1860.923</v>
      </c>
      <c r="BB7">
        <f ca="1">IFERROR(IF(0=LEN(ReferenceData!$BB$7),"",ReferenceData!$BB$7),"")</f>
        <v>1841.078</v>
      </c>
      <c r="BC7">
        <f ca="1">IFERROR(IF(0=LEN(ReferenceData!$BC$7),"",ReferenceData!$BC$7),"")</f>
        <v>1852.9280000000001</v>
      </c>
      <c r="BD7">
        <f ca="1">IFERROR(IF(0=LEN(ReferenceData!$BD$7),"",ReferenceData!$BD$7),"")</f>
        <v>1906.364</v>
      </c>
      <c r="BE7">
        <f ca="1">IFERROR(IF(0=LEN(ReferenceData!$BE$7),"",ReferenceData!$BE$7),"")</f>
        <v>1928.66</v>
      </c>
      <c r="BF7">
        <f ca="1">IFERROR(IF(0=LEN(ReferenceData!$BF$7),"",ReferenceData!$BF$7),"")</f>
        <v>1831.489</v>
      </c>
      <c r="BG7">
        <f ca="1">IFERROR(IF(0=LEN(ReferenceData!$BG$7),"",ReferenceData!$BG$7),"")</f>
        <v>1766.8520000000001</v>
      </c>
      <c r="BH7">
        <f ca="1">IFERROR(IF(0=LEN(ReferenceData!$BH$7),"",ReferenceData!$BH$7),"")</f>
        <v>1734.421</v>
      </c>
      <c r="BI7">
        <f ca="1">IFERROR(IF(0=LEN(ReferenceData!$BI$7),"",ReferenceData!$BI$7),"")</f>
        <v>1718.635</v>
      </c>
      <c r="BJ7">
        <f ca="1">IFERROR(IF(0=LEN(ReferenceData!$BJ$7),"",ReferenceData!$BJ$7),"")</f>
        <v>1751.98</v>
      </c>
      <c r="BK7">
        <f ca="1">IFERROR(IF(0=LEN(ReferenceData!$BK$7),"",ReferenceData!$BK$7),"")</f>
        <v>1731.5540000000001</v>
      </c>
      <c r="BL7">
        <f ca="1">IFERROR(IF(0=LEN(ReferenceData!$BL$7),"",ReferenceData!$BL$7),"")</f>
        <v>1690.29</v>
      </c>
      <c r="BM7">
        <f ca="1">IFERROR(IF(0=LEN(ReferenceData!$BM$7),"",ReferenceData!$BM$7),"")</f>
        <v>1685.8530000000001</v>
      </c>
    </row>
    <row r="8" spans="1:65">
      <c r="A8" t="str">
        <f>IFERROR(IF(0=LEN(ReferenceData!$A$8),"",ReferenceData!$A$8),"")</f>
        <v xml:space="preserve">    办公楼房地产投资信托总股利支付</v>
      </c>
      <c r="B8" t="str">
        <f>IFERROR(IF(0=LEN(ReferenceData!$B$8),"",ReferenceData!$B$8),"")</f>
        <v>RECFTDOF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动态</v>
      </c>
      <c r="F8">
        <f ca="1">IFERROR(IF(0=LEN(ReferenceData!$F$8),"",ReferenceData!$F$8),"")</f>
        <v>897.93088790000002</v>
      </c>
      <c r="G8">
        <f ca="1">IFERROR(IF(0=LEN(ReferenceData!$G$8),"",ReferenceData!$G$8),"")</f>
        <v>935.98199999999997</v>
      </c>
      <c r="H8">
        <f ca="1">IFERROR(IF(0=LEN(ReferenceData!$H$8),"",ReferenceData!$H$8),"")</f>
        <v>965.85500000000002</v>
      </c>
      <c r="I8">
        <f ca="1">IFERROR(IF(0=LEN(ReferenceData!$I$8),"",ReferenceData!$I$8),"")</f>
        <v>1244.7560000000001</v>
      </c>
      <c r="J8">
        <f ca="1">IFERROR(IF(0=LEN(ReferenceData!$J$8),"",ReferenceData!$J$8),"")</f>
        <v>1174.595</v>
      </c>
      <c r="K8">
        <f ca="1">IFERROR(IF(0=LEN(ReferenceData!$K$8),"",ReferenceData!$K$8),"")</f>
        <v>813.30600000000004</v>
      </c>
      <c r="L8">
        <f ca="1">IFERROR(IF(0=LEN(ReferenceData!$L$8),"",ReferenceData!$L$8),"")</f>
        <v>932.03700000000003</v>
      </c>
      <c r="M8">
        <f ca="1">IFERROR(IF(0=LEN(ReferenceData!$M$8),"",ReferenceData!$M$8),"")</f>
        <v>1086.9870000000001</v>
      </c>
      <c r="N8">
        <f ca="1">IFERROR(IF(0=LEN(ReferenceData!$N$8),"",ReferenceData!$N$8),"")</f>
        <v>799.26700000000005</v>
      </c>
      <c r="O8">
        <f ca="1">IFERROR(IF(0=LEN(ReferenceData!$O$8),"",ReferenceData!$O$8),"")</f>
        <v>1022.282</v>
      </c>
      <c r="P8">
        <f ca="1">IFERROR(IF(0=LEN(ReferenceData!$P$8),"",ReferenceData!$P$8),"")</f>
        <v>868.27099999999996</v>
      </c>
      <c r="Q8">
        <f ca="1">IFERROR(IF(0=LEN(ReferenceData!$Q$8),"",ReferenceData!$Q$8),"")</f>
        <v>1786.963</v>
      </c>
      <c r="R8">
        <f ca="1">IFERROR(IF(0=LEN(ReferenceData!$R$8),"",ReferenceData!$R$8),"")</f>
        <v>799.12199999999996</v>
      </c>
      <c r="S8">
        <f ca="1">IFERROR(IF(0=LEN(ReferenceData!$S$8),"",ReferenceData!$S$8),"")</f>
        <v>714.07799999999997</v>
      </c>
      <c r="T8">
        <f ca="1">IFERROR(IF(0=LEN(ReferenceData!$T$8),"",ReferenceData!$T$8),"")</f>
        <v>714.45299999999997</v>
      </c>
      <c r="U8">
        <f ca="1">IFERROR(IF(0=LEN(ReferenceData!$U$8),"",ReferenceData!$U$8),"")</f>
        <v>1106.502</v>
      </c>
      <c r="V8">
        <f ca="1">IFERROR(IF(0=LEN(ReferenceData!$V$8),"",ReferenceData!$V$8),"")</f>
        <v>859.48500000000001</v>
      </c>
      <c r="W8">
        <f ca="1">IFERROR(IF(0=LEN(ReferenceData!$W$8),"",ReferenceData!$W$8),"")</f>
        <v>652.74</v>
      </c>
      <c r="X8">
        <f ca="1">IFERROR(IF(0=LEN(ReferenceData!$X$8),"",ReferenceData!$X$8),"")</f>
        <v>670.98500000000001</v>
      </c>
      <c r="Y8">
        <f ca="1">IFERROR(IF(0=LEN(ReferenceData!$Y$8),"",ReferenceData!$Y$8),"")</f>
        <v>661.05700000000002</v>
      </c>
      <c r="Z8">
        <f ca="1">IFERROR(IF(0=LEN(ReferenceData!$Z$8),"",ReferenceData!$Z$8),"")</f>
        <v>560.49599999999998</v>
      </c>
      <c r="AA8">
        <f ca="1">IFERROR(IF(0=LEN(ReferenceData!$AA$8),"",ReferenceData!$AA$8),"")</f>
        <v>564.58100000000002</v>
      </c>
      <c r="AB8">
        <f ca="1">IFERROR(IF(0=LEN(ReferenceData!$AB$8),"",ReferenceData!$AB$8),"")</f>
        <v>596.04100000000005</v>
      </c>
      <c r="AC8">
        <f ca="1">IFERROR(IF(0=LEN(ReferenceData!$AC$8),"",ReferenceData!$AC$8),"")</f>
        <v>639.52599999999995</v>
      </c>
      <c r="AD8">
        <f ca="1">IFERROR(IF(0=LEN(ReferenceData!$AD$8),"",ReferenceData!$AD$8),"")</f>
        <v>523.68100000000004</v>
      </c>
      <c r="AE8">
        <f ca="1">IFERROR(IF(0=LEN(ReferenceData!$AE$8),"",ReferenceData!$AE$8),"")</f>
        <v>537.37300000000005</v>
      </c>
      <c r="AF8">
        <f ca="1">IFERROR(IF(0=LEN(ReferenceData!$AF$8),"",ReferenceData!$AF$8),"")</f>
        <v>650.68899999999996</v>
      </c>
      <c r="AG8">
        <f ca="1">IFERROR(IF(0=LEN(ReferenceData!$AG$8),"",ReferenceData!$AG$8),"")</f>
        <v>494.29500000000002</v>
      </c>
      <c r="AH8">
        <f ca="1">IFERROR(IF(0=LEN(ReferenceData!$AH$8),"",ReferenceData!$AH$8),"")</f>
        <v>484.274</v>
      </c>
      <c r="AI8">
        <f ca="1">IFERROR(IF(0=LEN(ReferenceData!$AI$8),"",ReferenceData!$AI$8),"")</f>
        <v>462.40100000000001</v>
      </c>
      <c r="AJ8">
        <f ca="1">IFERROR(IF(0=LEN(ReferenceData!$AJ$8),"",ReferenceData!$AJ$8),"")</f>
        <v>451.34</v>
      </c>
      <c r="AK8">
        <f ca="1">IFERROR(IF(0=LEN(ReferenceData!$AK$8),"",ReferenceData!$AK$8),"")</f>
        <v>450.565</v>
      </c>
      <c r="AL8">
        <f ca="1">IFERROR(IF(0=LEN(ReferenceData!$AL$8),"",ReferenceData!$AL$8),"")</f>
        <v>380.95</v>
      </c>
      <c r="AM8">
        <f ca="1">IFERROR(IF(0=LEN(ReferenceData!$AM$8),"",ReferenceData!$AM$8),"")</f>
        <v>363.16699999999997</v>
      </c>
      <c r="AN8">
        <f ca="1">IFERROR(IF(0=LEN(ReferenceData!$AN$8),"",ReferenceData!$AN$8),"")</f>
        <v>431.69400000000002</v>
      </c>
      <c r="AO8">
        <f ca="1">IFERROR(IF(0=LEN(ReferenceData!$AO$8),"",ReferenceData!$AO$8),"")</f>
        <v>472.452</v>
      </c>
      <c r="AP8">
        <f ca="1">IFERROR(IF(0=LEN(ReferenceData!$AP$8),"",ReferenceData!$AP$8),"")</f>
        <v>569.83749999999998</v>
      </c>
      <c r="AQ8">
        <f ca="1">IFERROR(IF(0=LEN(ReferenceData!$AQ$8),"",ReferenceData!$AQ$8),"")</f>
        <v>536.96</v>
      </c>
      <c r="AR8">
        <f ca="1">IFERROR(IF(0=LEN(ReferenceData!$AR$8),"",ReferenceData!$AR$8),"")</f>
        <v>549.34299999999996</v>
      </c>
      <c r="AS8">
        <f ca="1">IFERROR(IF(0=LEN(ReferenceData!$AS$8),"",ReferenceData!$AS$8),"")</f>
        <v>1384.4090000000001</v>
      </c>
      <c r="AT8">
        <f ca="1">IFERROR(IF(0=LEN(ReferenceData!$AT$8),"",ReferenceData!$AT$8),"")</f>
        <v>568.73850000000004</v>
      </c>
      <c r="AU8">
        <f ca="1">IFERROR(IF(0=LEN(ReferenceData!$AU$8),"",ReferenceData!$AU$8),"")</f>
        <v>562.41099999999994</v>
      </c>
      <c r="AV8">
        <f ca="1">IFERROR(IF(0=LEN(ReferenceData!$AV$8),"",ReferenceData!$AV$8),"")</f>
        <v>609.35699999999997</v>
      </c>
      <c r="AW8">
        <f ca="1">IFERROR(IF(0=LEN(ReferenceData!$AW$8),"",ReferenceData!$AW$8),"")</f>
        <v>1370.4829999999999</v>
      </c>
      <c r="AX8">
        <f ca="1">IFERROR(IF(0=LEN(ReferenceData!$AX$8),"",ReferenceData!$AX$8),"")</f>
        <v>953.40899999999999</v>
      </c>
      <c r="AY8">
        <f ca="1">IFERROR(IF(0=LEN(ReferenceData!$AY$8),"",ReferenceData!$AY$8),"")</f>
        <v>721.279</v>
      </c>
      <c r="AZ8">
        <f ca="1">IFERROR(IF(0=LEN(ReferenceData!$AZ$8),"",ReferenceData!$AZ$8),"")</f>
        <v>751.85400000000004</v>
      </c>
      <c r="BA8">
        <f ca="1">IFERROR(IF(0=LEN(ReferenceData!$BA$8),"",ReferenceData!$BA$8),"")</f>
        <v>636.03499999999997</v>
      </c>
      <c r="BB8">
        <f ca="1">IFERROR(IF(0=LEN(ReferenceData!$BB$8),"",ReferenceData!$BB$8),"")</f>
        <v>1425.1935000000001</v>
      </c>
      <c r="BC8">
        <f ca="1">IFERROR(IF(0=LEN(ReferenceData!$BC$8),"",ReferenceData!$BC$8),"")</f>
        <v>875.88599999999997</v>
      </c>
      <c r="BD8">
        <f ca="1">IFERROR(IF(0=LEN(ReferenceData!$BD$8),"",ReferenceData!$BD$8),"")</f>
        <v>881.58199999999999</v>
      </c>
      <c r="BE8">
        <f ca="1">IFERROR(IF(0=LEN(ReferenceData!$BE$8),"",ReferenceData!$BE$8),"")</f>
        <v>697.65800000000002</v>
      </c>
      <c r="BF8">
        <f ca="1">IFERROR(IF(0=LEN(ReferenceData!$BF$8),"",ReferenceData!$BF$8),"")</f>
        <v>1081.6125</v>
      </c>
      <c r="BG8">
        <f ca="1">IFERROR(IF(0=LEN(ReferenceData!$BG$8),"",ReferenceData!$BG$8),"")</f>
        <v>834.86</v>
      </c>
      <c r="BH8">
        <f ca="1">IFERROR(IF(0=LEN(ReferenceData!$BH$8),"",ReferenceData!$BH$8),"")</f>
        <v>790.995</v>
      </c>
      <c r="BI8">
        <f ca="1">IFERROR(IF(0=LEN(ReferenceData!$BI$8),"",ReferenceData!$BI$8),"")</f>
        <v>518.00800000000004</v>
      </c>
      <c r="BJ8">
        <f ca="1">IFERROR(IF(0=LEN(ReferenceData!$BJ$8),"",ReferenceData!$BJ$8),"")</f>
        <v>1064.3454999999999</v>
      </c>
      <c r="BK8">
        <f ca="1">IFERROR(IF(0=LEN(ReferenceData!$BK$8),"",ReferenceData!$BK$8),"")</f>
        <v>748.47299999999996</v>
      </c>
      <c r="BL8">
        <f ca="1">IFERROR(IF(0=LEN(ReferenceData!$BL$8),"",ReferenceData!$BL$8),"")</f>
        <v>756.55799999999999</v>
      </c>
      <c r="BM8">
        <f ca="1">IFERROR(IF(0=LEN(ReferenceData!$BM$8),"",ReferenceData!$BM$8),"")</f>
        <v>501.00299999999999</v>
      </c>
    </row>
    <row r="9" spans="1:65">
      <c r="A9" t="str">
        <f>IFERROR(IF(0=LEN(ReferenceData!$A$9),"",ReferenceData!$A$9),"")</f>
        <v xml:space="preserve">    办公楼房地产投资信托总收购</v>
      </c>
      <c r="B9" t="str">
        <f>IFERROR(IF(0=LEN(ReferenceData!$B$9),"",ReferenceData!$B$9),"")</f>
        <v>RECFTAOF Index</v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Expression</v>
      </c>
      <c r="F9">
        <f ca="1">IFERROR(IF(0=LEN(ReferenceData!$F$9),"",ReferenceData!$F$9),"")</f>
        <v>2918.5450000000001</v>
      </c>
      <c r="G9">
        <f ca="1">IFERROR(IF(0=LEN(ReferenceData!$G$9),"",ReferenceData!$G$9),"")</f>
        <v>842.91200000000003</v>
      </c>
      <c r="H9">
        <f ca="1">IFERROR(IF(0=LEN(ReferenceData!$H$9),"",ReferenceData!$H$9),"")</f>
        <v>1459.193</v>
      </c>
      <c r="I9">
        <f ca="1">IFERROR(IF(0=LEN(ReferenceData!$I$9),"",ReferenceData!$I$9),"")</f>
        <v>1211.7809999999999</v>
      </c>
      <c r="J9">
        <f ca="1">IFERROR(IF(0=LEN(ReferenceData!$J$9),"",ReferenceData!$J$9),"")</f>
        <v>5052.027</v>
      </c>
      <c r="K9">
        <f ca="1">IFERROR(IF(0=LEN(ReferenceData!$K$9),"",ReferenceData!$K$9),"")</f>
        <v>2289.7739999999999</v>
      </c>
      <c r="L9">
        <f ca="1">IFERROR(IF(0=LEN(ReferenceData!$L$9),"",ReferenceData!$L$9),"")</f>
        <v>1889.355</v>
      </c>
      <c r="M9">
        <f ca="1">IFERROR(IF(0=LEN(ReferenceData!$M$9),"",ReferenceData!$M$9),"")</f>
        <v>1644.2449999999999</v>
      </c>
      <c r="N9">
        <f ca="1">IFERROR(IF(0=LEN(ReferenceData!$N$9),"",ReferenceData!$N$9),"")</f>
        <v>4085.1080000000002</v>
      </c>
      <c r="O9">
        <f ca="1">IFERROR(IF(0=LEN(ReferenceData!$O$9),"",ReferenceData!$O$9),"")</f>
        <v>4647.0990000000002</v>
      </c>
      <c r="P9">
        <f ca="1">IFERROR(IF(0=LEN(ReferenceData!$P$9),"",ReferenceData!$P$9),"")</f>
        <v>4819.5460000000003</v>
      </c>
      <c r="Q9">
        <f ca="1">IFERROR(IF(0=LEN(ReferenceData!$Q$9),"",ReferenceData!$Q$9),"")</f>
        <v>2023.002</v>
      </c>
      <c r="R9">
        <f ca="1">IFERROR(IF(0=LEN(ReferenceData!$R$9),"",ReferenceData!$R$9),"")</f>
        <v>2880.2020000000002</v>
      </c>
      <c r="S9">
        <f ca="1">IFERROR(IF(0=LEN(ReferenceData!$S$9),"",ReferenceData!$S$9),"")</f>
        <v>2523.4279999999999</v>
      </c>
      <c r="T9">
        <f ca="1">IFERROR(IF(0=LEN(ReferenceData!$T$9),"",ReferenceData!$T$9),"")</f>
        <v>2725.13</v>
      </c>
      <c r="U9">
        <f ca="1">IFERROR(IF(0=LEN(ReferenceData!$U$9),"",ReferenceData!$U$9),"")</f>
        <v>359.589</v>
      </c>
      <c r="V9">
        <f ca="1">IFERROR(IF(0=LEN(ReferenceData!$V$9),"",ReferenceData!$V$9),"")</f>
        <v>2900.5320000000002</v>
      </c>
      <c r="W9">
        <f ca="1">IFERROR(IF(0=LEN(ReferenceData!$W$9),"",ReferenceData!$W$9),"")</f>
        <v>1878.2170000000001</v>
      </c>
      <c r="X9">
        <f ca="1">IFERROR(IF(0=LEN(ReferenceData!$X$9),"",ReferenceData!$X$9),"")</f>
        <v>1112.4549999999999</v>
      </c>
      <c r="Y9">
        <f ca="1">IFERROR(IF(0=LEN(ReferenceData!$Y$9),"",ReferenceData!$Y$9),"")</f>
        <v>1409.2380000000001</v>
      </c>
      <c r="Z9">
        <f ca="1">IFERROR(IF(0=LEN(ReferenceData!$Z$9),"",ReferenceData!$Z$9),"")</f>
        <v>2150.0100000000002</v>
      </c>
      <c r="AA9">
        <f ca="1">IFERROR(IF(0=LEN(ReferenceData!$AA$9),"",ReferenceData!$AA$9),"")</f>
        <v>2281.6460000000002</v>
      </c>
      <c r="AB9">
        <f ca="1">IFERROR(IF(0=LEN(ReferenceData!$AB$9),"",ReferenceData!$AB$9),"")</f>
        <v>1089.17</v>
      </c>
      <c r="AC9">
        <f ca="1">IFERROR(IF(0=LEN(ReferenceData!$AC$9),"",ReferenceData!$AC$9),"")</f>
        <v>2029.66</v>
      </c>
      <c r="AD9">
        <f ca="1">IFERROR(IF(0=LEN(ReferenceData!$AD$9),"",ReferenceData!$AD$9),"")</f>
        <v>1303.1559999999999</v>
      </c>
      <c r="AE9">
        <f ca="1">IFERROR(IF(0=LEN(ReferenceData!$AE$9),"",ReferenceData!$AE$9),"")</f>
        <v>1575.3119999999999</v>
      </c>
      <c r="AF9">
        <f ca="1">IFERROR(IF(0=LEN(ReferenceData!$AF$9),"",ReferenceData!$AF$9),"")</f>
        <v>4069.3710000000001</v>
      </c>
      <c r="AG9">
        <f ca="1">IFERROR(IF(0=LEN(ReferenceData!$AG$9),"",ReferenceData!$AG$9),"")</f>
        <v>1966.163</v>
      </c>
      <c r="AH9">
        <f ca="1">IFERROR(IF(0=LEN(ReferenceData!$AH$9),"",ReferenceData!$AH$9),"")</f>
        <v>3916.9070000000002</v>
      </c>
      <c r="AI9">
        <f ca="1">IFERROR(IF(0=LEN(ReferenceData!$AI$9),"",ReferenceData!$AI$9),"")</f>
        <v>1623.4929999999999</v>
      </c>
      <c r="AJ9">
        <f ca="1">IFERROR(IF(0=LEN(ReferenceData!$AJ$9),"",ReferenceData!$AJ$9),"")</f>
        <v>1361.095</v>
      </c>
      <c r="AK9">
        <f ca="1">IFERROR(IF(0=LEN(ReferenceData!$AK$9),"",ReferenceData!$AK$9),"")</f>
        <v>290.19799999999998</v>
      </c>
      <c r="AL9">
        <f ca="1">IFERROR(IF(0=LEN(ReferenceData!$AL$9),"",ReferenceData!$AL$9),"")</f>
        <v>474.51900000000001</v>
      </c>
      <c r="AM9">
        <f ca="1">IFERROR(IF(0=LEN(ReferenceData!$AM$9),"",ReferenceData!$AM$9),"")</f>
        <v>298.8</v>
      </c>
      <c r="AN9">
        <f ca="1">IFERROR(IF(0=LEN(ReferenceData!$AN$9),"",ReferenceData!$AN$9),"")</f>
        <v>232.53399999999999</v>
      </c>
      <c r="AO9">
        <f ca="1">IFERROR(IF(0=LEN(ReferenceData!$AO$9),"",ReferenceData!$AO$9),"")</f>
        <v>57.5</v>
      </c>
      <c r="AP9">
        <f ca="1">IFERROR(IF(0=LEN(ReferenceData!$AP$9),"",ReferenceData!$AP$9),"")</f>
        <v>195.709</v>
      </c>
      <c r="AQ9">
        <f ca="1">IFERROR(IF(0=LEN(ReferenceData!$AQ$9),"",ReferenceData!$AQ$9),"")</f>
        <v>1169.9369999999999</v>
      </c>
      <c r="AR9">
        <f ca="1">IFERROR(IF(0=LEN(ReferenceData!$AR$9),"",ReferenceData!$AR$9),"")</f>
        <v>1838.43</v>
      </c>
      <c r="AS9">
        <f ca="1">IFERROR(IF(0=LEN(ReferenceData!$AS$9),"",ReferenceData!$AS$9),"")</f>
        <v>1061.577</v>
      </c>
      <c r="AT9">
        <f ca="1">IFERROR(IF(0=LEN(ReferenceData!$AT$9),"",ReferenceData!$AT$9),"")</f>
        <v>2330.6889999999999</v>
      </c>
      <c r="AU9">
        <f ca="1">IFERROR(IF(0=LEN(ReferenceData!$AU$9),"",ReferenceData!$AU$9),"")</f>
        <v>1868.7249999999999</v>
      </c>
      <c r="AV9">
        <f ca="1">IFERROR(IF(0=LEN(ReferenceData!$AV$9),"",ReferenceData!$AV$9),"")</f>
        <v>2322.9659999999999</v>
      </c>
      <c r="AW9">
        <f ca="1">IFERROR(IF(0=LEN(ReferenceData!$AW$9),"",ReferenceData!$AW$9),"")</f>
        <v>5955.0950000000003</v>
      </c>
      <c r="AX9">
        <f ca="1">IFERROR(IF(0=LEN(ReferenceData!$AX$9),"",ReferenceData!$AX$9),"")</f>
        <v>2811.4290000000001</v>
      </c>
      <c r="AY9">
        <f ca="1">IFERROR(IF(0=LEN(ReferenceData!$AY$9),"",ReferenceData!$AY$9),"")</f>
        <v>2565.348</v>
      </c>
      <c r="AZ9">
        <f ca="1">IFERROR(IF(0=LEN(ReferenceData!$AZ$9),"",ReferenceData!$AZ$9),"")</f>
        <v>3066.607</v>
      </c>
      <c r="BA9">
        <f ca="1">IFERROR(IF(0=LEN(ReferenceData!$BA$9),"",ReferenceData!$BA$9),"")</f>
        <v>3693.2629999999999</v>
      </c>
      <c r="BB9">
        <f ca="1">IFERROR(IF(0=LEN(ReferenceData!$BB$9),"",ReferenceData!$BB$9),"")</f>
        <v>2030.799</v>
      </c>
      <c r="BC9">
        <f ca="1">IFERROR(IF(0=LEN(ReferenceData!$BC$9),"",ReferenceData!$BC$9),"")</f>
        <v>2273.8200000000002</v>
      </c>
      <c r="BD9">
        <f ca="1">IFERROR(IF(0=LEN(ReferenceData!$BD$9),"",ReferenceData!$BD$9),"")</f>
        <v>3399.627</v>
      </c>
      <c r="BE9">
        <f ca="1">IFERROR(IF(0=LEN(ReferenceData!$BE$9),"",ReferenceData!$BE$9),"")</f>
        <v>1417.1510000000001</v>
      </c>
      <c r="BF9">
        <f ca="1">IFERROR(IF(0=LEN(ReferenceData!$BF$9),"",ReferenceData!$BF$9),"")</f>
        <v>2003.7280000000001</v>
      </c>
      <c r="BG9">
        <f ca="1">IFERROR(IF(0=LEN(ReferenceData!$BG$9),"",ReferenceData!$BG$9),"")</f>
        <v>3671.43</v>
      </c>
      <c r="BH9">
        <f ca="1">IFERROR(IF(0=LEN(ReferenceData!$BH$9),"",ReferenceData!$BH$9),"")</f>
        <v>1186.768</v>
      </c>
      <c r="BI9">
        <f ca="1">IFERROR(IF(0=LEN(ReferenceData!$BI$9),"",ReferenceData!$BI$9),"")</f>
        <v>715.27099999999996</v>
      </c>
      <c r="BJ9">
        <f ca="1">IFERROR(IF(0=LEN(ReferenceData!$BJ$9),"",ReferenceData!$BJ$9),"")</f>
        <v>1847.087</v>
      </c>
      <c r="BK9">
        <f ca="1">IFERROR(IF(0=LEN(ReferenceData!$BK$9),"",ReferenceData!$BK$9),"")</f>
        <v>189.02099999999999</v>
      </c>
      <c r="BL9">
        <f ca="1">IFERROR(IF(0=LEN(ReferenceData!$BL$9),"",ReferenceData!$BL$9),"")</f>
        <v>18.273</v>
      </c>
      <c r="BM9">
        <f ca="1">IFERROR(IF(0=LEN(ReferenceData!$BM$9),"",ReferenceData!$BM$9),"")</f>
        <v>370.9</v>
      </c>
    </row>
    <row r="10" spans="1:65">
      <c r="A10" t="str">
        <f>IFERROR(IF(0=LEN(ReferenceData!$A$10),"",ReferenceData!$A$10),"")</f>
        <v xml:space="preserve">    办公楼房地产投资信托总处置</v>
      </c>
      <c r="B10" t="str">
        <f>IFERROR(IF(0=LEN(ReferenceData!$B$10),"",ReferenceData!$B$10),"")</f>
        <v>RECFDSOF Index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>
        <f ca="1">IFERROR(IF(0=LEN(ReferenceData!$F$10),"",ReferenceData!$F$10),"")</f>
        <v>3481.201</v>
      </c>
      <c r="G10">
        <f ca="1">IFERROR(IF(0=LEN(ReferenceData!$G$10),"",ReferenceData!$G$10),"")</f>
        <v>2442.4810000000002</v>
      </c>
      <c r="H10">
        <f ca="1">IFERROR(IF(0=LEN(ReferenceData!$H$10),"",ReferenceData!$H$10),"")</f>
        <v>1791.797</v>
      </c>
      <c r="I10">
        <f ca="1">IFERROR(IF(0=LEN(ReferenceData!$I$10),"",ReferenceData!$I$10),"")</f>
        <v>1815.7739999999999</v>
      </c>
      <c r="J10">
        <f ca="1">IFERROR(IF(0=LEN(ReferenceData!$J$10),"",ReferenceData!$J$10),"")</f>
        <v>1359.627</v>
      </c>
      <c r="K10">
        <f ca="1">IFERROR(IF(0=LEN(ReferenceData!$K$10),"",ReferenceData!$K$10),"")</f>
        <v>5137.1899999999996</v>
      </c>
      <c r="L10">
        <f ca="1">IFERROR(IF(0=LEN(ReferenceData!$L$10),"",ReferenceData!$L$10),"")</f>
        <v>4196.3590000000004</v>
      </c>
      <c r="M10">
        <f ca="1">IFERROR(IF(0=LEN(ReferenceData!$M$10),"",ReferenceData!$M$10),"")</f>
        <v>4357.4139999999998</v>
      </c>
      <c r="N10">
        <f ca="1">IFERROR(IF(0=LEN(ReferenceData!$N$10),"",ReferenceData!$N$10),"")</f>
        <v>3327.2629999999999</v>
      </c>
      <c r="O10">
        <f ca="1">IFERROR(IF(0=LEN(ReferenceData!$O$10),"",ReferenceData!$O$10),"")</f>
        <v>3079.549</v>
      </c>
      <c r="P10">
        <f ca="1">IFERROR(IF(0=LEN(ReferenceData!$P$10),"",ReferenceData!$P$10),"")</f>
        <v>1945.999</v>
      </c>
      <c r="Q10">
        <f ca="1">IFERROR(IF(0=LEN(ReferenceData!$Q$10),"",ReferenceData!$Q$10),"")</f>
        <v>1094.021</v>
      </c>
      <c r="R10">
        <f ca="1">IFERROR(IF(0=LEN(ReferenceData!$R$10),"",ReferenceData!$R$10),"")</f>
        <v>6330.97</v>
      </c>
      <c r="S10">
        <f ca="1">IFERROR(IF(0=LEN(ReferenceData!$S$10),"",ReferenceData!$S$10),"")</f>
        <v>1727.183</v>
      </c>
      <c r="T10">
        <f ca="1">IFERROR(IF(0=LEN(ReferenceData!$T$10),"",ReferenceData!$T$10),"")</f>
        <v>869.447</v>
      </c>
      <c r="U10">
        <f ca="1">IFERROR(IF(0=LEN(ReferenceData!$U$10),"",ReferenceData!$U$10),"")</f>
        <v>1262.499</v>
      </c>
      <c r="V10">
        <f ca="1">IFERROR(IF(0=LEN(ReferenceData!$V$10),"",ReferenceData!$V$10),"")</f>
        <v>2428.52</v>
      </c>
      <c r="W10">
        <f ca="1">IFERROR(IF(0=LEN(ReferenceData!$W$10),"",ReferenceData!$W$10),"")</f>
        <v>930.94399999999996</v>
      </c>
      <c r="X10">
        <f ca="1">IFERROR(IF(0=LEN(ReferenceData!$X$10),"",ReferenceData!$X$10),"")</f>
        <v>1352.7180000000001</v>
      </c>
      <c r="Y10">
        <f ca="1">IFERROR(IF(0=LEN(ReferenceData!$Y$10),"",ReferenceData!$Y$10),"")</f>
        <v>354.43200000000002</v>
      </c>
      <c r="Z10">
        <f ca="1">IFERROR(IF(0=LEN(ReferenceData!$Z$10),"",ReferenceData!$Z$10),"")</f>
        <v>1434.434</v>
      </c>
      <c r="AA10">
        <f ca="1">IFERROR(IF(0=LEN(ReferenceData!$AA$10),"",ReferenceData!$AA$10),"")</f>
        <v>1384.979</v>
      </c>
      <c r="AB10">
        <f ca="1">IFERROR(IF(0=LEN(ReferenceData!$AB$10),"",ReferenceData!$AB$10),"")</f>
        <v>1189.6189999999999</v>
      </c>
      <c r="AC10">
        <f ca="1">IFERROR(IF(0=LEN(ReferenceData!$AC$10),"",ReferenceData!$AC$10),"")</f>
        <v>987.58900000000006</v>
      </c>
      <c r="AD10">
        <f ca="1">IFERROR(IF(0=LEN(ReferenceData!$AD$10),"",ReferenceData!$AD$10),"")</f>
        <v>1485.605</v>
      </c>
      <c r="AE10">
        <f ca="1">IFERROR(IF(0=LEN(ReferenceData!$AE$10),"",ReferenceData!$AE$10),"")</f>
        <v>798.03200000000004</v>
      </c>
      <c r="AF10">
        <f ca="1">IFERROR(IF(0=LEN(ReferenceData!$AF$10),"",ReferenceData!$AF$10),"")</f>
        <v>872.09199999999998</v>
      </c>
      <c r="AG10">
        <f ca="1">IFERROR(IF(0=LEN(ReferenceData!$AG$10),"",ReferenceData!$AG$10),"")</f>
        <v>187.52699999999999</v>
      </c>
      <c r="AH10">
        <f ca="1">IFERROR(IF(0=LEN(ReferenceData!$AH$10),"",ReferenceData!$AH$10),"")</f>
        <v>786.36900000000003</v>
      </c>
      <c r="AI10">
        <f ca="1">IFERROR(IF(0=LEN(ReferenceData!$AI$10),"",ReferenceData!$AI$10),"")</f>
        <v>450.11</v>
      </c>
      <c r="AJ10">
        <f ca="1">IFERROR(IF(0=LEN(ReferenceData!$AJ$10),"",ReferenceData!$AJ$10),"")</f>
        <v>1556.8879999999999</v>
      </c>
      <c r="AK10">
        <f ca="1">IFERROR(IF(0=LEN(ReferenceData!$AK$10),"",ReferenceData!$AK$10),"")</f>
        <v>143.51</v>
      </c>
      <c r="AL10">
        <f ca="1">IFERROR(IF(0=LEN(ReferenceData!$AL$10),"",ReferenceData!$AL$10),"")</f>
        <v>320.61099999999999</v>
      </c>
      <c r="AM10">
        <f ca="1">IFERROR(IF(0=LEN(ReferenceData!$AM$10),"",ReferenceData!$AM$10),"")</f>
        <v>189.43199999999999</v>
      </c>
      <c r="AN10">
        <f ca="1">IFERROR(IF(0=LEN(ReferenceData!$AN$10),"",ReferenceData!$AN$10),"")</f>
        <v>432.613</v>
      </c>
      <c r="AO10">
        <f ca="1">IFERROR(IF(0=LEN(ReferenceData!$AO$10),"",ReferenceData!$AO$10),"")</f>
        <v>303.71600000000001</v>
      </c>
      <c r="AP10">
        <f ca="1">IFERROR(IF(0=LEN(ReferenceData!$AP$10),"",ReferenceData!$AP$10),"")</f>
        <v>920.08299999999997</v>
      </c>
      <c r="AQ10">
        <f ca="1">IFERROR(IF(0=LEN(ReferenceData!$AQ$10),"",ReferenceData!$AQ$10),"")</f>
        <v>243.37299999999999</v>
      </c>
      <c r="AR10">
        <f ca="1">IFERROR(IF(0=LEN(ReferenceData!$AR$10),"",ReferenceData!$AR$10),"")</f>
        <v>500.10500000000002</v>
      </c>
      <c r="AS10">
        <f ca="1">IFERROR(IF(0=LEN(ReferenceData!$AS$10),"",ReferenceData!$AS$10),"")</f>
        <v>502.1</v>
      </c>
      <c r="AT10">
        <f ca="1">IFERROR(IF(0=LEN(ReferenceData!$AT$10),"",ReferenceData!$AT$10),"")</f>
        <v>715.92399999999998</v>
      </c>
      <c r="AU10">
        <f ca="1">IFERROR(IF(0=LEN(ReferenceData!$AU$10),"",ReferenceData!$AU$10),"")</f>
        <v>956.36099999999999</v>
      </c>
      <c r="AV10">
        <f ca="1">IFERROR(IF(0=LEN(ReferenceData!$AV$10),"",ReferenceData!$AV$10),"")</f>
        <v>1111.5899999999999</v>
      </c>
      <c r="AW10">
        <f ca="1">IFERROR(IF(0=LEN(ReferenceData!$AW$10),"",ReferenceData!$AW$10),"")</f>
        <v>2574.1709999999998</v>
      </c>
      <c r="AX10">
        <f ca="1">IFERROR(IF(0=LEN(ReferenceData!$AX$10),"",ReferenceData!$AX$10),"")</f>
        <v>3407.8449999999998</v>
      </c>
      <c r="AY10">
        <f ca="1">IFERROR(IF(0=LEN(ReferenceData!$AY$10),"",ReferenceData!$AY$10),"")</f>
        <v>1112.4469999999999</v>
      </c>
      <c r="AZ10">
        <f ca="1">IFERROR(IF(0=LEN(ReferenceData!$AZ$10),"",ReferenceData!$AZ$10),"")</f>
        <v>2125.0790000000002</v>
      </c>
      <c r="BA10">
        <f ca="1">IFERROR(IF(0=LEN(ReferenceData!$BA$10),"",ReferenceData!$BA$10),"")</f>
        <v>918.721</v>
      </c>
      <c r="BB10">
        <f ca="1">IFERROR(IF(0=LEN(ReferenceData!$BB$10),"",ReferenceData!$BB$10),"")</f>
        <v>2911.5360000000001</v>
      </c>
      <c r="BC10">
        <f ca="1">IFERROR(IF(0=LEN(ReferenceData!$BC$10),"",ReferenceData!$BC$10),"")</f>
        <v>2049.7849999999999</v>
      </c>
      <c r="BD10">
        <f ca="1">IFERROR(IF(0=LEN(ReferenceData!$BD$10),"",ReferenceData!$BD$10),"")</f>
        <v>2292.0320000000002</v>
      </c>
      <c r="BE10">
        <f ca="1">IFERROR(IF(0=LEN(ReferenceData!$BE$10),"",ReferenceData!$BE$10),"")</f>
        <v>765.63499999999999</v>
      </c>
      <c r="BF10">
        <f ca="1">IFERROR(IF(0=LEN(ReferenceData!$BF$10),"",ReferenceData!$BF$10),"")</f>
        <v>1319.269</v>
      </c>
      <c r="BG10">
        <f ca="1">IFERROR(IF(0=LEN(ReferenceData!$BG$10),"",ReferenceData!$BG$10),"")</f>
        <v>681.99</v>
      </c>
      <c r="BH10">
        <f ca="1">IFERROR(IF(0=LEN(ReferenceData!$BH$10),"",ReferenceData!$BH$10),"")</f>
        <v>695.28599999999994</v>
      </c>
      <c r="BI10">
        <f ca="1">IFERROR(IF(0=LEN(ReferenceData!$BI$10),"",ReferenceData!$BI$10),"")</f>
        <v>404.26299999999998</v>
      </c>
      <c r="BJ10">
        <f ca="1">IFERROR(IF(0=LEN(ReferenceData!$BJ$10),"",ReferenceData!$BJ$10),"")</f>
        <v>569.375</v>
      </c>
      <c r="BK10">
        <f ca="1">IFERROR(IF(0=LEN(ReferenceData!$BK$10),"",ReferenceData!$BK$10),"")</f>
        <v>133.66200000000001</v>
      </c>
      <c r="BL10">
        <f ca="1">IFERROR(IF(0=LEN(ReferenceData!$BL$10),"",ReferenceData!$BL$10),"")</f>
        <v>31.085000000000001</v>
      </c>
      <c r="BM10">
        <f ca="1">IFERROR(IF(0=LEN(ReferenceData!$BM$10),"",ReferenceData!$BM$10),"")</f>
        <v>561.96699999999998</v>
      </c>
    </row>
    <row r="11" spans="1:65">
      <c r="A11" t="str">
        <f>IFERROR(IF(0=LEN(ReferenceData!$A$11),"",ReferenceData!$A$11),"")</f>
        <v xml:space="preserve">    办公楼房地产投资信托净收购</v>
      </c>
      <c r="B11" t="str">
        <f>IFERROR(IF(0=LEN(ReferenceData!$B$11),"",ReferenceData!$B$11),"")</f>
        <v>RECFNAOF Index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Expression</v>
      </c>
      <c r="F11">
        <f ca="1">IFERROR(IF(0=LEN(ReferenceData!$F$11),"",ReferenceData!$F$11),"")</f>
        <v>-562.65599999999995</v>
      </c>
      <c r="G11">
        <f ca="1">IFERROR(IF(0=LEN(ReferenceData!$G$11),"",ReferenceData!$G$11),"")</f>
        <v>-1599.569</v>
      </c>
      <c r="H11">
        <f ca="1">IFERROR(IF(0=LEN(ReferenceData!$H$11),"",ReferenceData!$H$11),"")</f>
        <v>-332.60399999999998</v>
      </c>
      <c r="I11">
        <f ca="1">IFERROR(IF(0=LEN(ReferenceData!$I$11),"",ReferenceData!$I$11),"")</f>
        <v>-603.99300000000005</v>
      </c>
      <c r="J11">
        <f ca="1">IFERROR(IF(0=LEN(ReferenceData!$J$11),"",ReferenceData!$J$11),"")</f>
        <v>3692.4</v>
      </c>
      <c r="K11">
        <f ca="1">IFERROR(IF(0=LEN(ReferenceData!$K$11),"",ReferenceData!$K$11),"")</f>
        <v>-2847.4160000000002</v>
      </c>
      <c r="L11">
        <f ca="1">IFERROR(IF(0=LEN(ReferenceData!$L$11),"",ReferenceData!$L$11),"")</f>
        <v>-2307.0039999999999</v>
      </c>
      <c r="M11">
        <f ca="1">IFERROR(IF(0=LEN(ReferenceData!$M$11),"",ReferenceData!$M$11),"")</f>
        <v>-2713.1689999999999</v>
      </c>
      <c r="N11">
        <f ca="1">IFERROR(IF(0=LEN(ReferenceData!$N$11),"",ReferenceData!$N$11),"")</f>
        <v>757.84500000000003</v>
      </c>
      <c r="O11">
        <f ca="1">IFERROR(IF(0=LEN(ReferenceData!$O$11),"",ReferenceData!$O$11),"")</f>
        <v>1567.55</v>
      </c>
      <c r="P11">
        <f ca="1">IFERROR(IF(0=LEN(ReferenceData!$P$11),"",ReferenceData!$P$11),"")</f>
        <v>2873.547</v>
      </c>
      <c r="Q11">
        <f ca="1">IFERROR(IF(0=LEN(ReferenceData!$Q$11),"",ReferenceData!$Q$11),"")</f>
        <v>928.98099999999999</v>
      </c>
      <c r="R11">
        <f ca="1">IFERROR(IF(0=LEN(ReferenceData!$R$11),"",ReferenceData!$R$11),"")</f>
        <v>-3450.768</v>
      </c>
      <c r="S11">
        <f ca="1">IFERROR(IF(0=LEN(ReferenceData!$S$11),"",ReferenceData!$S$11),"")</f>
        <v>796.245</v>
      </c>
      <c r="T11">
        <f ca="1">IFERROR(IF(0=LEN(ReferenceData!$T$11),"",ReferenceData!$T$11),"")</f>
        <v>1855.683</v>
      </c>
      <c r="U11">
        <f ca="1">IFERROR(IF(0=LEN(ReferenceData!$U$11),"",ReferenceData!$U$11),"")</f>
        <v>-902.91</v>
      </c>
      <c r="V11">
        <f ca="1">IFERROR(IF(0=LEN(ReferenceData!$V$11),"",ReferenceData!$V$11),"")</f>
        <v>472.012</v>
      </c>
      <c r="W11">
        <f ca="1">IFERROR(IF(0=LEN(ReferenceData!$W$11),"",ReferenceData!$W$11),"")</f>
        <v>947.27300000000002</v>
      </c>
      <c r="X11">
        <f ca="1">IFERROR(IF(0=LEN(ReferenceData!$X$11),"",ReferenceData!$X$11),"")</f>
        <v>-240.26300000000001</v>
      </c>
      <c r="Y11">
        <f ca="1">IFERROR(IF(0=LEN(ReferenceData!$Y$11),"",ReferenceData!$Y$11),"")</f>
        <v>1054.806</v>
      </c>
      <c r="Z11">
        <f ca="1">IFERROR(IF(0=LEN(ReferenceData!$Z$11),"",ReferenceData!$Z$11),"")</f>
        <v>715.57600000000002</v>
      </c>
      <c r="AA11">
        <f ca="1">IFERROR(IF(0=LEN(ReferenceData!$AA$11),"",ReferenceData!$AA$11),"")</f>
        <v>896.66700000000003</v>
      </c>
      <c r="AB11">
        <f ca="1">IFERROR(IF(0=LEN(ReferenceData!$AB$11),"",ReferenceData!$AB$11),"")</f>
        <v>-100.449</v>
      </c>
      <c r="AC11">
        <f ca="1">IFERROR(IF(0=LEN(ReferenceData!$AC$11),"",ReferenceData!$AC$11),"")</f>
        <v>1042.0709999999999</v>
      </c>
      <c r="AD11">
        <f ca="1">IFERROR(IF(0=LEN(ReferenceData!$AD$11),"",ReferenceData!$AD$11),"")</f>
        <v>-182.44900000000001</v>
      </c>
      <c r="AE11">
        <f ca="1">IFERROR(IF(0=LEN(ReferenceData!$AE$11),"",ReferenceData!$AE$11),"")</f>
        <v>777.28</v>
      </c>
      <c r="AF11">
        <f ca="1">IFERROR(IF(0=LEN(ReferenceData!$AF$11),"",ReferenceData!$AF$11),"")</f>
        <v>3197.279</v>
      </c>
      <c r="AG11">
        <f ca="1">IFERROR(IF(0=LEN(ReferenceData!$AG$11),"",ReferenceData!$AG$11),"")</f>
        <v>1778.636</v>
      </c>
      <c r="AH11">
        <f ca="1">IFERROR(IF(0=LEN(ReferenceData!$AH$11),"",ReferenceData!$AH$11),"")</f>
        <v>3130.538</v>
      </c>
      <c r="AI11">
        <f ca="1">IFERROR(IF(0=LEN(ReferenceData!$AI$11),"",ReferenceData!$AI$11),"")</f>
        <v>1173.383</v>
      </c>
      <c r="AJ11">
        <f ca="1">IFERROR(IF(0=LEN(ReferenceData!$AJ$11),"",ReferenceData!$AJ$11),"")</f>
        <v>-195.79300000000001</v>
      </c>
      <c r="AK11">
        <f ca="1">IFERROR(IF(0=LEN(ReferenceData!$AK$11),"",ReferenceData!$AK$11),"")</f>
        <v>146.68799999999999</v>
      </c>
      <c r="AL11">
        <f ca="1">IFERROR(IF(0=LEN(ReferenceData!$AL$11),"",ReferenceData!$AL$11),"")</f>
        <v>153.90799999999999</v>
      </c>
      <c r="AM11">
        <f ca="1">IFERROR(IF(0=LEN(ReferenceData!$AM$11),"",ReferenceData!$AM$11),"")</f>
        <v>109.36799999999999</v>
      </c>
      <c r="AN11">
        <f ca="1">IFERROR(IF(0=LEN(ReferenceData!$AN$11),"",ReferenceData!$AN$11),"")</f>
        <v>-200.07900000000001</v>
      </c>
      <c r="AO11">
        <f ca="1">IFERROR(IF(0=LEN(ReferenceData!$AO$11),"",ReferenceData!$AO$11),"")</f>
        <v>-246.21600000000001</v>
      </c>
      <c r="AP11">
        <f ca="1">IFERROR(IF(0=LEN(ReferenceData!$AP$11),"",ReferenceData!$AP$11),"")</f>
        <v>-724.37400000000002</v>
      </c>
      <c r="AQ11">
        <f ca="1">IFERROR(IF(0=LEN(ReferenceData!$AQ$11),"",ReferenceData!$AQ$11),"")</f>
        <v>926.56399999999996</v>
      </c>
      <c r="AR11">
        <f ca="1">IFERROR(IF(0=LEN(ReferenceData!$AR$11),"",ReferenceData!$AR$11),"")</f>
        <v>1338.325</v>
      </c>
      <c r="AS11">
        <f ca="1">IFERROR(IF(0=LEN(ReferenceData!$AS$11),"",ReferenceData!$AS$11),"")</f>
        <v>559.47699999999998</v>
      </c>
      <c r="AT11">
        <f ca="1">IFERROR(IF(0=LEN(ReferenceData!$AT$11),"",ReferenceData!$AT$11),"")</f>
        <v>1614.7650000000001</v>
      </c>
      <c r="AU11">
        <f ca="1">IFERROR(IF(0=LEN(ReferenceData!$AU$11),"",ReferenceData!$AU$11),"")</f>
        <v>912.36400000000003</v>
      </c>
      <c r="AV11">
        <f ca="1">IFERROR(IF(0=LEN(ReferenceData!$AV$11),"",ReferenceData!$AV$11),"")</f>
        <v>1211.376</v>
      </c>
      <c r="AW11">
        <f ca="1">IFERROR(IF(0=LEN(ReferenceData!$AW$11),"",ReferenceData!$AW$11),"")</f>
        <v>3380.924</v>
      </c>
      <c r="AX11">
        <f ca="1">IFERROR(IF(0=LEN(ReferenceData!$AX$11),"",ReferenceData!$AX$11),"")</f>
        <v>-596.41600000000005</v>
      </c>
      <c r="AY11">
        <f ca="1">IFERROR(IF(0=LEN(ReferenceData!$AY$11),"",ReferenceData!$AY$11),"")</f>
        <v>1452.9010000000001</v>
      </c>
      <c r="AZ11">
        <f ca="1">IFERROR(IF(0=LEN(ReferenceData!$AZ$11),"",ReferenceData!$AZ$11),"")</f>
        <v>941.52800000000002</v>
      </c>
      <c r="BA11">
        <f ca="1">IFERROR(IF(0=LEN(ReferenceData!$BA$11),"",ReferenceData!$BA$11),"")</f>
        <v>2774.5419999999999</v>
      </c>
      <c r="BB11">
        <f ca="1">IFERROR(IF(0=LEN(ReferenceData!$BB$11),"",ReferenceData!$BB$11),"")</f>
        <v>-880.73699999999997</v>
      </c>
      <c r="BC11">
        <f ca="1">IFERROR(IF(0=LEN(ReferenceData!$BC$11),"",ReferenceData!$BC$11),"")</f>
        <v>224.035</v>
      </c>
      <c r="BD11">
        <f ca="1">IFERROR(IF(0=LEN(ReferenceData!$BD$11),"",ReferenceData!$BD$11),"")</f>
        <v>1107.595</v>
      </c>
      <c r="BE11">
        <f ca="1">IFERROR(IF(0=LEN(ReferenceData!$BE$11),"",ReferenceData!$BE$11),"")</f>
        <v>651.51700000000005</v>
      </c>
      <c r="BF11">
        <f ca="1">IFERROR(IF(0=LEN(ReferenceData!$BF$11),"",ReferenceData!$BF$11),"")</f>
        <v>684.45899999999995</v>
      </c>
      <c r="BG11">
        <f ca="1">IFERROR(IF(0=LEN(ReferenceData!$BG$11),"",ReferenceData!$BG$11),"")</f>
        <v>2989.44</v>
      </c>
      <c r="BH11">
        <f ca="1">IFERROR(IF(0=LEN(ReferenceData!$BH$11),"",ReferenceData!$BH$11),"")</f>
        <v>491.48200000000003</v>
      </c>
      <c r="BI11">
        <f ca="1">IFERROR(IF(0=LEN(ReferenceData!$BI$11),"",ReferenceData!$BI$11),"")</f>
        <v>311.00799999999998</v>
      </c>
      <c r="BJ11">
        <f ca="1">IFERROR(IF(0=LEN(ReferenceData!$BJ$11),"",ReferenceData!$BJ$11),"")</f>
        <v>1277.712</v>
      </c>
      <c r="BK11">
        <f ca="1">IFERROR(IF(0=LEN(ReferenceData!$BK$11),"",ReferenceData!$BK$11),"")</f>
        <v>55.359000000000002</v>
      </c>
      <c r="BL11">
        <f ca="1">IFERROR(IF(0=LEN(ReferenceData!$BL$11),"",ReferenceData!$BL$11),"")</f>
        <v>-12.811999999999999</v>
      </c>
      <c r="BM11">
        <f ca="1">IFERROR(IF(0=LEN(ReferenceData!$BM$11),"",ReferenceData!$BM$11),"")</f>
        <v>-191.06700000000001</v>
      </c>
    </row>
    <row r="12" spans="1:65">
      <c r="A12" t="str">
        <f>IFERROR(IF(0=LEN(ReferenceData!$A$12),"",ReferenceData!$A$12),"")</f>
        <v xml:space="preserve">    办公物业房地产投资信托总开发渠道</v>
      </c>
      <c r="B12" t="str">
        <f>IFERROR(IF(0=LEN(ReferenceData!$B$12),"",ReferenceData!$B$12),"")</f>
        <v>RECFDVOF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动态</v>
      </c>
      <c r="F12">
        <f ca="1">IFERROR(IF(0=LEN(ReferenceData!$F$12),"",ReferenceData!$F$12),"")</f>
        <v>12031.406999999999</v>
      </c>
      <c r="G12">
        <f ca="1">IFERROR(IF(0=LEN(ReferenceData!$G$12),"",ReferenceData!$G$12),"")</f>
        <v>11582.31</v>
      </c>
      <c r="H12">
        <f ca="1">IFERROR(IF(0=LEN(ReferenceData!$H$12),"",ReferenceData!$H$12),"")</f>
        <v>11122.46</v>
      </c>
      <c r="I12">
        <f ca="1">IFERROR(IF(0=LEN(ReferenceData!$I$12),"",ReferenceData!$I$12),"")</f>
        <v>10850.764999999999</v>
      </c>
      <c r="J12">
        <f ca="1">IFERROR(IF(0=LEN(ReferenceData!$J$12),"",ReferenceData!$J$12),"")</f>
        <v>8728.15</v>
      </c>
      <c r="K12">
        <f ca="1">IFERROR(IF(0=LEN(ReferenceData!$K$12),"",ReferenceData!$K$12),"")</f>
        <v>7866.8379999999997</v>
      </c>
      <c r="L12">
        <f ca="1">IFERROR(IF(0=LEN(ReferenceData!$L$12),"",ReferenceData!$L$12),"")</f>
        <v>6932.9849999999997</v>
      </c>
      <c r="M12">
        <f ca="1">IFERROR(IF(0=LEN(ReferenceData!$M$12),"",ReferenceData!$M$12),"")</f>
        <v>7766.7020000000002</v>
      </c>
      <c r="N12">
        <f ca="1">IFERROR(IF(0=LEN(ReferenceData!$N$12),"",ReferenceData!$N$12),"")</f>
        <v>8234.2569999999996</v>
      </c>
      <c r="O12">
        <f ca="1">IFERROR(IF(0=LEN(ReferenceData!$O$12),"",ReferenceData!$O$12),"")</f>
        <v>9182.2139999999999</v>
      </c>
      <c r="P12">
        <f ca="1">IFERROR(IF(0=LEN(ReferenceData!$P$12),"",ReferenceData!$P$12),"")</f>
        <v>8892.6749999999993</v>
      </c>
      <c r="Q12">
        <f ca="1">IFERROR(IF(0=LEN(ReferenceData!$Q$12),"",ReferenceData!$Q$12),"")</f>
        <v>7309.7330000000002</v>
      </c>
      <c r="R12">
        <f ca="1">IFERROR(IF(0=LEN(ReferenceData!$R$12),"",ReferenceData!$R$12),"")</f>
        <v>7492.1419999999998</v>
      </c>
      <c r="S12">
        <f ca="1">IFERROR(IF(0=LEN(ReferenceData!$S$12),"",ReferenceData!$S$12),"")</f>
        <v>7346.7460000000001</v>
      </c>
      <c r="T12">
        <f ca="1">IFERROR(IF(0=LEN(ReferenceData!$T$12),"",ReferenceData!$T$12),"")</f>
        <v>8759.5149999999994</v>
      </c>
      <c r="U12">
        <f ca="1">IFERROR(IF(0=LEN(ReferenceData!$U$12),"",ReferenceData!$U$12),"")</f>
        <v>7233.9669999999996</v>
      </c>
      <c r="V12">
        <f ca="1">IFERROR(IF(0=LEN(ReferenceData!$V$12),"",ReferenceData!$V$12),"")</f>
        <v>6286.5690000000004</v>
      </c>
      <c r="W12">
        <f ca="1">IFERROR(IF(0=LEN(ReferenceData!$W$12),"",ReferenceData!$W$12),"")</f>
        <v>5283.4129999999996</v>
      </c>
      <c r="X12">
        <f ca="1">IFERROR(IF(0=LEN(ReferenceData!$X$12),"",ReferenceData!$X$12),"")</f>
        <v>5210.9430000000002</v>
      </c>
      <c r="Y12">
        <f ca="1">IFERROR(IF(0=LEN(ReferenceData!$Y$12),"",ReferenceData!$Y$12),"")</f>
        <v>4022.085</v>
      </c>
      <c r="Z12">
        <f ca="1">IFERROR(IF(0=LEN(ReferenceData!$Z$12),"",ReferenceData!$Z$12),"")</f>
        <v>4179.1170000000002</v>
      </c>
      <c r="AA12">
        <f ca="1">IFERROR(IF(0=LEN(ReferenceData!$AA$12),"",ReferenceData!$AA$12),"")</f>
        <v>2806.34</v>
      </c>
      <c r="AB12">
        <f ca="1">IFERROR(IF(0=LEN(ReferenceData!$AB$12),"",ReferenceData!$AB$12),"")</f>
        <v>2334.0239999999999</v>
      </c>
      <c r="AC12">
        <f ca="1">IFERROR(IF(0=LEN(ReferenceData!$AC$12),"",ReferenceData!$AC$12),"")</f>
        <v>2430.7260000000001</v>
      </c>
      <c r="AD12">
        <f ca="1">IFERROR(IF(0=LEN(ReferenceData!$AD$12),"",ReferenceData!$AD$12),"")</f>
        <v>2365.2620000000002</v>
      </c>
      <c r="AE12">
        <f ca="1">IFERROR(IF(0=LEN(ReferenceData!$AE$12),"",ReferenceData!$AE$12),"")</f>
        <v>2806.3310000000001</v>
      </c>
      <c r="AF12">
        <f ca="1">IFERROR(IF(0=LEN(ReferenceData!$AF$12),"",ReferenceData!$AF$12),"")</f>
        <v>3291.49</v>
      </c>
      <c r="AG12">
        <f ca="1">IFERROR(IF(0=LEN(ReferenceData!$AG$12),"",ReferenceData!$AG$12),"")</f>
        <v>2353.7359999999999</v>
      </c>
      <c r="AH12">
        <f ca="1">IFERROR(IF(0=LEN(ReferenceData!$AH$12),"",ReferenceData!$AH$12),"")</f>
        <v>2361.482</v>
      </c>
      <c r="AI12">
        <f ca="1">IFERROR(IF(0=LEN(ReferenceData!$AI$12),"",ReferenceData!$AI$12),"")</f>
        <v>2331.587</v>
      </c>
      <c r="AJ12">
        <f ca="1">IFERROR(IF(0=LEN(ReferenceData!$AJ$12),"",ReferenceData!$AJ$12),"")</f>
        <v>2171.9054999999998</v>
      </c>
      <c r="AK12">
        <f ca="1">IFERROR(IF(0=LEN(ReferenceData!$AK$12),"",ReferenceData!$AK$12),"")</f>
        <v>2208.6770000000001</v>
      </c>
      <c r="AL12">
        <f ca="1">IFERROR(IF(0=LEN(ReferenceData!$AL$12),"",ReferenceData!$AL$12),"")</f>
        <v>2008.88</v>
      </c>
      <c r="AM12">
        <f ca="1">IFERROR(IF(0=LEN(ReferenceData!$AM$12),"",ReferenceData!$AM$12),"")</f>
        <v>2117.6869999999999</v>
      </c>
      <c r="AN12">
        <f ca="1">IFERROR(IF(0=LEN(ReferenceData!$AN$12),"",ReferenceData!$AN$12),"")</f>
        <v>2355.221</v>
      </c>
      <c r="AO12">
        <f ca="1">IFERROR(IF(0=LEN(ReferenceData!$AO$12),"",ReferenceData!$AO$12),"")</f>
        <v>2526.8029999999999</v>
      </c>
      <c r="AP12">
        <f ca="1">IFERROR(IF(0=LEN(ReferenceData!$AP$12),"",ReferenceData!$AP$12),"")</f>
        <v>4334.5360000000001</v>
      </c>
      <c r="AQ12">
        <f ca="1">IFERROR(IF(0=LEN(ReferenceData!$AQ$12),"",ReferenceData!$AQ$12),"")</f>
        <v>5673.4719999999998</v>
      </c>
      <c r="AR12">
        <f ca="1">IFERROR(IF(0=LEN(ReferenceData!$AR$12),"",ReferenceData!$AR$12),"")</f>
        <v>5739.1239999999998</v>
      </c>
      <c r="AS12">
        <f ca="1">IFERROR(IF(0=LEN(ReferenceData!$AS$12),"",ReferenceData!$AS$12),"")</f>
        <v>5377.4260000000004</v>
      </c>
      <c r="AT12">
        <f ca="1">IFERROR(IF(0=LEN(ReferenceData!$AT$12),"",ReferenceData!$AT$12),"")</f>
        <v>5475.4769999999999</v>
      </c>
      <c r="AU12">
        <f ca="1">IFERROR(IF(0=LEN(ReferenceData!$AU$12),"",ReferenceData!$AU$12),"")</f>
        <v>5632.2709999999997</v>
      </c>
      <c r="AV12">
        <f ca="1">IFERROR(IF(0=LEN(ReferenceData!$AV$12),"",ReferenceData!$AV$12),"")</f>
        <v>3982.527</v>
      </c>
      <c r="AW12">
        <f ca="1">IFERROR(IF(0=LEN(ReferenceData!$AW$12),"",ReferenceData!$AW$12),"")</f>
        <v>4551.9539999999997</v>
      </c>
      <c r="AX12">
        <f ca="1">IFERROR(IF(0=LEN(ReferenceData!$AX$12),"",ReferenceData!$AX$12),"")</f>
        <v>5189.8599999999997</v>
      </c>
      <c r="AY12">
        <f ca="1">IFERROR(IF(0=LEN(ReferenceData!$AY$12),"",ReferenceData!$AY$12),"")</f>
        <v>3807.8879999999999</v>
      </c>
      <c r="AZ12">
        <f ca="1">IFERROR(IF(0=LEN(ReferenceData!$AZ$12),"",ReferenceData!$AZ$12),"")</f>
        <v>3571.9140000000002</v>
      </c>
      <c r="BA12">
        <f ca="1">IFERROR(IF(0=LEN(ReferenceData!$BA$12),"",ReferenceData!$BA$12),"")</f>
        <v>2863.027</v>
      </c>
      <c r="BB12">
        <f ca="1">IFERROR(IF(0=LEN(ReferenceData!$BB$12),"",ReferenceData!$BB$12),"")</f>
        <v>2882.38</v>
      </c>
      <c r="BC12">
        <f ca="1">IFERROR(IF(0=LEN(ReferenceData!$BC$12),"",ReferenceData!$BC$12),"")</f>
        <v>2410.009</v>
      </c>
      <c r="BD12">
        <f ca="1">IFERROR(IF(0=LEN(ReferenceData!$BD$12),"",ReferenceData!$BD$12),"")</f>
        <v>1616.5260000000001</v>
      </c>
      <c r="BE12">
        <f ca="1">IFERROR(IF(0=LEN(ReferenceData!$BE$12),"",ReferenceData!$BE$12),"")</f>
        <v>1334.5255</v>
      </c>
      <c r="BF12">
        <f ca="1">IFERROR(IF(0=LEN(ReferenceData!$BF$12),"",ReferenceData!$BF$12),"")</f>
        <v>1492.1980000000001</v>
      </c>
      <c r="BG12">
        <f ca="1">IFERROR(IF(0=LEN(ReferenceData!$BG$12),"",ReferenceData!$BG$12),"")</f>
        <v>1353.558</v>
      </c>
      <c r="BH12">
        <f ca="1">IFERROR(IF(0=LEN(ReferenceData!$BH$12),"",ReferenceData!$BH$12),"")</f>
        <v>1957.664</v>
      </c>
      <c r="BI12">
        <f ca="1">IFERROR(IF(0=LEN(ReferenceData!$BI$12),"",ReferenceData!$BI$12),"")</f>
        <v>1894.8689999999999</v>
      </c>
      <c r="BJ12">
        <f ca="1">IFERROR(IF(0=LEN(ReferenceData!$BJ$12),"",ReferenceData!$BJ$12),"")</f>
        <v>1587.941</v>
      </c>
      <c r="BK12">
        <f ca="1">IFERROR(IF(0=LEN(ReferenceData!$BK$12),"",ReferenceData!$BK$12),"")</f>
        <v>61.357999999999997</v>
      </c>
      <c r="BL12">
        <f ca="1">IFERROR(IF(0=LEN(ReferenceData!$BL$12),"",ReferenceData!$BL$12),"")</f>
        <v>34.85</v>
      </c>
      <c r="BM12">
        <f ca="1">IFERROR(IF(0=LEN(ReferenceData!$BM$12),"",ReferenceData!$BM$12),"")</f>
        <v>34.5</v>
      </c>
    </row>
    <row r="13" spans="1:65">
      <c r="A13" t="str">
        <f>IFERROR(IF(0=LEN(ReferenceData!$A$13),"",ReferenceData!$A$13),"")</f>
        <v/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静态</v>
      </c>
      <c r="F13" t="str">
        <f ca="1">IFERROR(IF(0=LEN(ReferenceData!$F$13),"",ReferenceData!$F$13),"")</f>
        <v/>
      </c>
      <c r="G13" t="str">
        <f ca="1">IFERROR(IF(0=LEN(ReferenceData!$G$13),"",ReferenceData!$G$13),"")</f>
        <v/>
      </c>
      <c r="H13" t="str">
        <f ca="1">IFERROR(IF(0=LEN(ReferenceData!$H$13),"",ReferenceData!$H$13),"")</f>
        <v/>
      </c>
      <c r="I13" t="str">
        <f ca="1">IFERROR(IF(0=LEN(ReferenceData!$I$13),"",ReferenceData!$I$13),"")</f>
        <v/>
      </c>
      <c r="J13" t="str">
        <f ca="1">IFERROR(IF(0=LEN(ReferenceData!$J$13),"",ReferenceData!$J$13),"")</f>
        <v/>
      </c>
      <c r="K13" t="str">
        <f ca="1">IFERROR(IF(0=LEN(ReferenceData!$K$13),"",ReferenceData!$K$13),"")</f>
        <v/>
      </c>
      <c r="L13" t="str">
        <f ca="1">IFERROR(IF(0=LEN(ReferenceData!$L$13),"",ReferenceData!$L$13),"")</f>
        <v/>
      </c>
      <c r="M13" t="str">
        <f ca="1">IFERROR(IF(0=LEN(ReferenceData!$M$13),"",ReferenceData!$M$13),"")</f>
        <v/>
      </c>
      <c r="N13" t="str">
        <f ca="1">IFERROR(IF(0=LEN(ReferenceData!$N$13),"",ReferenceData!$N$13),"")</f>
        <v/>
      </c>
      <c r="O13" t="str">
        <f ca="1">IFERROR(IF(0=LEN(ReferenceData!$O$13),"",ReferenceData!$O$13),"")</f>
        <v/>
      </c>
      <c r="P13" t="str">
        <f ca="1">IFERROR(IF(0=LEN(ReferenceData!$P$13),"",ReferenceData!$P$13),"")</f>
        <v/>
      </c>
      <c r="Q13" t="str">
        <f ca="1">IFERROR(IF(0=LEN(ReferenceData!$Q$13),"",ReferenceData!$Q$13),"")</f>
        <v/>
      </c>
      <c r="R13" t="str">
        <f ca="1">IFERROR(IF(0=LEN(ReferenceData!$R$13),"",ReferenceData!$R$13),"")</f>
        <v/>
      </c>
      <c r="S13" t="str">
        <f ca="1">IFERROR(IF(0=LEN(ReferenceData!$S$13),"",ReferenceData!$S$13),"")</f>
        <v/>
      </c>
      <c r="T13" t="str">
        <f ca="1">IFERROR(IF(0=LEN(ReferenceData!$T$13),"",ReferenceData!$T$13),"")</f>
        <v/>
      </c>
      <c r="U13" t="str">
        <f ca="1">IFERROR(IF(0=LEN(ReferenceData!$U$13),"",ReferenceData!$U$13),"")</f>
        <v/>
      </c>
      <c r="V13" t="str">
        <f ca="1">IFERROR(IF(0=LEN(ReferenceData!$V$13),"",ReferenceData!$V$13),"")</f>
        <v/>
      </c>
      <c r="W13" t="str">
        <f ca="1">IFERROR(IF(0=LEN(ReferenceData!$W$13),"",ReferenceData!$W$13),"")</f>
        <v/>
      </c>
      <c r="X13" t="str">
        <f ca="1">IFERROR(IF(0=LEN(ReferenceData!$X$13),"",ReferenceData!$X$13),"")</f>
        <v/>
      </c>
      <c r="Y13" t="str">
        <f ca="1">IFERROR(IF(0=LEN(ReferenceData!$Y$13),"",ReferenceData!$Y$13),"")</f>
        <v/>
      </c>
      <c r="Z13" t="str">
        <f ca="1">IFERROR(IF(0=LEN(ReferenceData!$Z$13),"",ReferenceData!$Z$13),"")</f>
        <v/>
      </c>
      <c r="AA13" t="str">
        <f ca="1">IFERROR(IF(0=LEN(ReferenceData!$AA$13),"",ReferenceData!$AA$13),"")</f>
        <v/>
      </c>
      <c r="AB13" t="str">
        <f ca="1">IFERROR(IF(0=LEN(ReferenceData!$AB$13),"",ReferenceData!$AB$13),"")</f>
        <v/>
      </c>
      <c r="AC13" t="str">
        <f ca="1">IFERROR(IF(0=LEN(ReferenceData!$AC$13),"",ReferenceData!$AC$13),"")</f>
        <v/>
      </c>
      <c r="AD13" t="str">
        <f ca="1">IFERROR(IF(0=LEN(ReferenceData!$AD$13),"",ReferenceData!$AD$13),"")</f>
        <v/>
      </c>
      <c r="AE13" t="str">
        <f ca="1">IFERROR(IF(0=LEN(ReferenceData!$AE$13),"",ReferenceData!$AE$13),"")</f>
        <v/>
      </c>
      <c r="AF13" t="str">
        <f ca="1">IFERROR(IF(0=LEN(ReferenceData!$AF$13),"",ReferenceData!$AF$13),"")</f>
        <v/>
      </c>
      <c r="AG13" t="str">
        <f ca="1">IFERROR(IF(0=LEN(ReferenceData!$AG$13),"",ReferenceData!$AG$13),"")</f>
        <v/>
      </c>
      <c r="AH13" t="str">
        <f ca="1">IFERROR(IF(0=LEN(ReferenceData!$AH$13),"",ReferenceData!$AH$13),"")</f>
        <v/>
      </c>
      <c r="AI13" t="str">
        <f ca="1">IFERROR(IF(0=LEN(ReferenceData!$AI$13),"",ReferenceData!$AI$13),"")</f>
        <v/>
      </c>
      <c r="AJ13" t="str">
        <f ca="1">IFERROR(IF(0=LEN(ReferenceData!$AJ$13),"",ReferenceData!$AJ$13),"")</f>
        <v/>
      </c>
      <c r="AK13" t="str">
        <f ca="1">IFERROR(IF(0=LEN(ReferenceData!$AK$13),"",ReferenceData!$AK$13),"")</f>
        <v/>
      </c>
      <c r="AL13" t="str">
        <f ca="1">IFERROR(IF(0=LEN(ReferenceData!$AL$13),"",ReferenceData!$AL$13),"")</f>
        <v/>
      </c>
      <c r="AM13" t="str">
        <f ca="1">IFERROR(IF(0=LEN(ReferenceData!$AM$13),"",ReferenceData!$AM$13),"")</f>
        <v/>
      </c>
      <c r="AN13" t="str">
        <f ca="1">IFERROR(IF(0=LEN(ReferenceData!$AN$13),"",ReferenceData!$AN$13),"")</f>
        <v/>
      </c>
      <c r="AO13" t="str">
        <f ca="1">IFERROR(IF(0=LEN(ReferenceData!$AO$13),"",ReferenceData!$AO$13),"")</f>
        <v/>
      </c>
      <c r="AP13" t="str">
        <f ca="1">IFERROR(IF(0=LEN(ReferenceData!$AP$13),"",ReferenceData!$AP$13),"")</f>
        <v/>
      </c>
      <c r="AQ13" t="str">
        <f ca="1">IFERROR(IF(0=LEN(ReferenceData!$AQ$13),"",ReferenceData!$AQ$13),"")</f>
        <v/>
      </c>
      <c r="AR13" t="str">
        <f ca="1">IFERROR(IF(0=LEN(ReferenceData!$AR$13),"",ReferenceData!$AR$13),"")</f>
        <v/>
      </c>
      <c r="AS13" t="str">
        <f ca="1">IFERROR(IF(0=LEN(ReferenceData!$AS$13),"",ReferenceData!$AS$13),"")</f>
        <v/>
      </c>
      <c r="AT13" t="str">
        <f ca="1">IFERROR(IF(0=LEN(ReferenceData!$AT$13),"",ReferenceData!$AT$13),"")</f>
        <v/>
      </c>
      <c r="AU13" t="str">
        <f ca="1">IFERROR(IF(0=LEN(ReferenceData!$AU$13),"",ReferenceData!$AU$13),"")</f>
        <v/>
      </c>
      <c r="AV13" t="str">
        <f ca="1">IFERROR(IF(0=LEN(ReferenceData!$AV$13),"",ReferenceData!$AV$13),"")</f>
        <v/>
      </c>
      <c r="AW13" t="str">
        <f ca="1">IFERROR(IF(0=LEN(ReferenceData!$AW$13),"",ReferenceData!$AW$13),"")</f>
        <v/>
      </c>
      <c r="AX13" t="str">
        <f ca="1">IFERROR(IF(0=LEN(ReferenceData!$AX$13),"",ReferenceData!$AX$13),"")</f>
        <v/>
      </c>
      <c r="AY13" t="str">
        <f ca="1">IFERROR(IF(0=LEN(ReferenceData!$AY$13),"",ReferenceData!$AY$13),"")</f>
        <v/>
      </c>
      <c r="AZ13" t="str">
        <f ca="1">IFERROR(IF(0=LEN(ReferenceData!$AZ$13),"",ReferenceData!$AZ$13),"")</f>
        <v/>
      </c>
      <c r="BA13" t="str">
        <f ca="1">IFERROR(IF(0=LEN(ReferenceData!$BA$13),"",ReferenceData!$BA$13),"")</f>
        <v/>
      </c>
      <c r="BB13" t="str">
        <f ca="1">IFERROR(IF(0=LEN(ReferenceData!$BB$13),"",ReferenceData!$BB$13),"")</f>
        <v/>
      </c>
      <c r="BC13" t="str">
        <f ca="1">IFERROR(IF(0=LEN(ReferenceData!$BC$13),"",ReferenceData!$BC$13),"")</f>
        <v/>
      </c>
      <c r="BD13" t="str">
        <f ca="1">IFERROR(IF(0=LEN(ReferenceData!$BD$13),"",ReferenceData!$BD$13),"")</f>
        <v/>
      </c>
      <c r="BE13" t="str">
        <f ca="1">IFERROR(IF(0=LEN(ReferenceData!$BE$13),"",ReferenceData!$BE$13),"")</f>
        <v/>
      </c>
      <c r="BF13" t="str">
        <f ca="1">IFERROR(IF(0=LEN(ReferenceData!$BF$13),"",ReferenceData!$BF$13),"")</f>
        <v/>
      </c>
      <c r="BG13" t="str">
        <f ca="1">IFERROR(IF(0=LEN(ReferenceData!$BG$13),"",ReferenceData!$BG$13),"")</f>
        <v/>
      </c>
      <c r="BH13" t="str">
        <f ca="1">IFERROR(IF(0=LEN(ReferenceData!$BH$13),"",ReferenceData!$BH$13),"")</f>
        <v/>
      </c>
      <c r="BI13" t="str">
        <f ca="1">IFERROR(IF(0=LEN(ReferenceData!$BI$13),"",ReferenceData!$BI$13),"")</f>
        <v/>
      </c>
      <c r="BJ13" t="str">
        <f ca="1">IFERROR(IF(0=LEN(ReferenceData!$BJ$13),"",ReferenceData!$BJ$13),"")</f>
        <v/>
      </c>
      <c r="BK13" t="str">
        <f ca="1">IFERROR(IF(0=LEN(ReferenceData!$BK$13),"",ReferenceData!$BK$13),"")</f>
        <v/>
      </c>
      <c r="BL13" t="str">
        <f ca="1">IFERROR(IF(0=LEN(ReferenceData!$BL$13),"",ReferenceData!$BL$13),"")</f>
        <v/>
      </c>
      <c r="BM13" t="str">
        <f ca="1">IFERROR(IF(0=LEN(ReferenceData!$BM$13),"",ReferenceData!$BM$13),"")</f>
        <v/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68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ReferenceData!$C$59</f>
        <v>2017 Q4</v>
      </c>
      <c r="G2" s="1" t="str">
        <f>ReferenceData!$D$59</f>
        <v>2017 Q3</v>
      </c>
      <c r="H2" s="1" t="str">
        <f>ReferenceData!$E$59</f>
        <v>2017 Q2</v>
      </c>
      <c r="I2" s="1" t="str">
        <f>ReferenceData!$F$59</f>
        <v>2017 Q1</v>
      </c>
      <c r="J2" s="1" t="str">
        <f>ReferenceData!$G$59</f>
        <v>2016 Q4</v>
      </c>
      <c r="K2" s="1" t="str">
        <f>ReferenceData!$H$59</f>
        <v>2016 Q3</v>
      </c>
      <c r="L2" s="1" t="str">
        <f>ReferenceData!$I$59</f>
        <v>2016 Q2</v>
      </c>
      <c r="M2" s="1" t="str">
        <f>ReferenceData!$J$59</f>
        <v>2016 Q1</v>
      </c>
      <c r="N2" s="1" t="str">
        <f>ReferenceData!$K$59</f>
        <v>2015 Q4</v>
      </c>
      <c r="O2" s="1" t="str">
        <f>ReferenceData!$L$59</f>
        <v>2015 Q3</v>
      </c>
      <c r="P2" s="1" t="str">
        <f>ReferenceData!$M$59</f>
        <v>2015 Q2</v>
      </c>
      <c r="Q2" s="1" t="str">
        <f>ReferenceData!$N$59</f>
        <v>2015 Q1</v>
      </c>
      <c r="R2" s="1" t="str">
        <f>ReferenceData!$O$59</f>
        <v>2014 Q4</v>
      </c>
      <c r="S2" s="1" t="str">
        <f>ReferenceData!$P$59</f>
        <v>2014 Q3</v>
      </c>
      <c r="T2" s="1" t="str">
        <f>ReferenceData!$Q$59</f>
        <v>2014 Q2</v>
      </c>
      <c r="U2" s="1" t="str">
        <f>ReferenceData!$R$59</f>
        <v>2014 Q1</v>
      </c>
      <c r="V2" s="1" t="str">
        <f>ReferenceData!$S$59</f>
        <v>2013 Q4</v>
      </c>
      <c r="W2" s="1" t="str">
        <f>ReferenceData!$T$59</f>
        <v>2013 Q3</v>
      </c>
      <c r="X2" s="1" t="str">
        <f>ReferenceData!$U$59</f>
        <v>2013 Q2</v>
      </c>
      <c r="Y2" s="1" t="str">
        <f>ReferenceData!$V$59</f>
        <v>2013 Q1</v>
      </c>
      <c r="Z2" s="1" t="str">
        <f>ReferenceData!$W$59</f>
        <v>2012 Q4</v>
      </c>
      <c r="AA2" s="1" t="str">
        <f>ReferenceData!$X$59</f>
        <v>2012 Q3</v>
      </c>
      <c r="AB2" s="1" t="str">
        <f>ReferenceData!$Y$59</f>
        <v>2012 Q2</v>
      </c>
      <c r="AC2" s="1" t="str">
        <f>ReferenceData!$Z$59</f>
        <v>2012 Q1</v>
      </c>
      <c r="AD2" s="1" t="str">
        <f>ReferenceData!$AA$59</f>
        <v>2011 Q4</v>
      </c>
      <c r="AE2" s="1" t="str">
        <f>ReferenceData!$AB$59</f>
        <v>2011 Q3</v>
      </c>
      <c r="AF2" s="1" t="str">
        <f>ReferenceData!$AC$59</f>
        <v>2011 Q2</v>
      </c>
      <c r="AG2" s="1" t="str">
        <f>ReferenceData!$AD$59</f>
        <v>2011 Q1</v>
      </c>
      <c r="AH2" s="1" t="str">
        <f>ReferenceData!$AE$59</f>
        <v>2010 Q4</v>
      </c>
      <c r="AI2" s="1" t="str">
        <f>ReferenceData!$AF$59</f>
        <v>2010 Q3</v>
      </c>
      <c r="AJ2" s="1" t="str">
        <f>ReferenceData!$AG$59</f>
        <v>2010 Q2</v>
      </c>
      <c r="AK2" s="1" t="str">
        <f>ReferenceData!$AH$59</f>
        <v>2010 Q1</v>
      </c>
      <c r="AL2" s="1" t="str">
        <f>ReferenceData!$AI$59</f>
        <v>2009 Q4</v>
      </c>
      <c r="AM2" s="1" t="str">
        <f>ReferenceData!$AJ$59</f>
        <v>2009 Q3</v>
      </c>
      <c r="AN2" s="1" t="str">
        <f>ReferenceData!$AK$59</f>
        <v>2009 Q2</v>
      </c>
      <c r="AO2" s="1" t="str">
        <f>ReferenceData!$AL$59</f>
        <v>2009 Q1</v>
      </c>
      <c r="AP2" s="1" t="str">
        <f>ReferenceData!$AM$59</f>
        <v>2008 Q4</v>
      </c>
      <c r="AQ2" s="1" t="str">
        <f>ReferenceData!$AN$59</f>
        <v>2008 Q3</v>
      </c>
      <c r="AR2" s="1" t="str">
        <f>ReferenceData!$AO$59</f>
        <v>2008 Q2</v>
      </c>
      <c r="AS2" s="1" t="str">
        <f>ReferenceData!$AP$59</f>
        <v>2008 Q1</v>
      </c>
      <c r="AT2" s="1" t="str">
        <f>ReferenceData!$AQ$59</f>
        <v>2007 Q4</v>
      </c>
      <c r="AU2" s="1" t="str">
        <f>ReferenceData!$AR$59</f>
        <v>2007 Q3</v>
      </c>
      <c r="AV2" s="1" t="str">
        <f>ReferenceData!$AS$59</f>
        <v>2007 Q2</v>
      </c>
      <c r="AW2" s="1" t="str">
        <f>ReferenceData!$AT$59</f>
        <v>2007 Q1</v>
      </c>
      <c r="AX2" s="1" t="str">
        <f>ReferenceData!$AU$59</f>
        <v>2006 Q4</v>
      </c>
      <c r="AY2" s="1" t="str">
        <f>ReferenceData!$AV$59</f>
        <v>2006 Q3</v>
      </c>
      <c r="AZ2" s="1" t="str">
        <f>ReferenceData!$AW$59</f>
        <v>2006 Q2</v>
      </c>
      <c r="BA2" s="1" t="str">
        <f>ReferenceData!$AX$59</f>
        <v>2006 Q1</v>
      </c>
      <c r="BB2" s="1" t="str">
        <f>ReferenceData!$AY$59</f>
        <v>2005 Q4</v>
      </c>
      <c r="BC2" s="1" t="str">
        <f>ReferenceData!$AZ$59</f>
        <v>2005 Q3</v>
      </c>
      <c r="BD2" s="1" t="str">
        <f>ReferenceData!$BA$59</f>
        <v>2005 Q2</v>
      </c>
      <c r="BE2" s="1" t="str">
        <f>ReferenceData!$BB$59</f>
        <v>2005 Q1</v>
      </c>
      <c r="BF2" s="1" t="str">
        <f>ReferenceData!$BC$59</f>
        <v>2004 Q4</v>
      </c>
      <c r="BG2" s="1" t="str">
        <f>ReferenceData!$BD$59</f>
        <v>2004 Q3</v>
      </c>
      <c r="BH2" s="1" t="str">
        <f>ReferenceData!$BE$59</f>
        <v>2004 Q2</v>
      </c>
      <c r="BI2" s="1" t="str">
        <f>ReferenceData!$BF$59</f>
        <v>2004 Q1</v>
      </c>
      <c r="BJ2" s="1" t="str">
        <f>ReferenceData!$BG$59</f>
        <v>2003 Q4</v>
      </c>
      <c r="BK2" s="1" t="str">
        <f>ReferenceData!$BH$59</f>
        <v>2003 Q3</v>
      </c>
      <c r="BL2" s="1" t="str">
        <f>ReferenceData!$BI$59</f>
        <v>2003 Q2</v>
      </c>
      <c r="BM2" s="1" t="str">
        <f>ReferenceData!$BJ$59</f>
        <v>2003 Q1</v>
      </c>
      <c r="BN2" t="str">
        <f>$C$59</f>
        <v>2017 Q4</v>
      </c>
      <c r="BO2" t="str">
        <f>$D$59</f>
        <v>2017 Q3</v>
      </c>
      <c r="BP2" t="str">
        <f>$E$59</f>
        <v>2017 Q2</v>
      </c>
      <c r="BQ2" t="str">
        <f>$F$59</f>
        <v>2017 Q1</v>
      </c>
      <c r="BR2" t="str">
        <f>$G$59</f>
        <v>2016 Q4</v>
      </c>
      <c r="BS2" t="str">
        <f>$H$59</f>
        <v>2016 Q3</v>
      </c>
      <c r="BT2" t="str">
        <f>$I$59</f>
        <v>2016 Q2</v>
      </c>
      <c r="BU2" t="str">
        <f>$J$59</f>
        <v>2016 Q1</v>
      </c>
      <c r="BV2" t="str">
        <f>$K$59</f>
        <v>2015 Q4</v>
      </c>
      <c r="BW2" t="str">
        <f>$L$59</f>
        <v>2015 Q3</v>
      </c>
      <c r="BX2" t="str">
        <f>$M$59</f>
        <v>2015 Q2</v>
      </c>
      <c r="BY2" t="str">
        <f>$N$59</f>
        <v>2015 Q1</v>
      </c>
      <c r="BZ2" t="str">
        <f>$O$59</f>
        <v>2014 Q4</v>
      </c>
      <c r="CA2" t="str">
        <f>$P$59</f>
        <v>2014 Q3</v>
      </c>
      <c r="CB2" t="str">
        <f>$Q$59</f>
        <v>2014 Q2</v>
      </c>
      <c r="CC2" t="str">
        <f>$R$59</f>
        <v>2014 Q1</v>
      </c>
      <c r="CD2" t="str">
        <f>$S$59</f>
        <v>2013 Q4</v>
      </c>
      <c r="CE2" t="str">
        <f>$T$59</f>
        <v>2013 Q3</v>
      </c>
      <c r="CF2" t="str">
        <f>$U$59</f>
        <v>2013 Q2</v>
      </c>
      <c r="CG2" t="str">
        <f>$V$59</f>
        <v>2013 Q1</v>
      </c>
      <c r="CH2" t="str">
        <f>$W$59</f>
        <v>2012 Q4</v>
      </c>
      <c r="CI2" t="str">
        <f>$X$59</f>
        <v>2012 Q3</v>
      </c>
      <c r="CJ2" t="str">
        <f>$Y$59</f>
        <v>2012 Q2</v>
      </c>
      <c r="CK2" t="str">
        <f>$Z$59</f>
        <v>2012 Q1</v>
      </c>
      <c r="CL2" t="str">
        <f>$AA$59</f>
        <v>2011 Q4</v>
      </c>
      <c r="CM2" t="str">
        <f>$AB$59</f>
        <v>2011 Q3</v>
      </c>
      <c r="CN2" t="str">
        <f>$AC$59</f>
        <v>2011 Q2</v>
      </c>
      <c r="CO2" t="str">
        <f>$AD$59</f>
        <v>2011 Q1</v>
      </c>
      <c r="CP2" t="str">
        <f>$AE$59</f>
        <v>2010 Q4</v>
      </c>
      <c r="CQ2" t="str">
        <f>$AF$59</f>
        <v>2010 Q3</v>
      </c>
      <c r="CR2" t="str">
        <f>$AG$59</f>
        <v>2010 Q2</v>
      </c>
      <c r="CS2" t="str">
        <f>$AH$59</f>
        <v>2010 Q1</v>
      </c>
      <c r="CT2" t="str">
        <f>$AI$59</f>
        <v>2009 Q4</v>
      </c>
      <c r="CU2" t="str">
        <f>$AJ$59</f>
        <v>2009 Q3</v>
      </c>
      <c r="CV2" t="str">
        <f>$AK$59</f>
        <v>2009 Q2</v>
      </c>
      <c r="CW2" t="str">
        <f>$AL$59</f>
        <v>2009 Q1</v>
      </c>
      <c r="CX2" t="str">
        <f>$AM$59</f>
        <v>2008 Q4</v>
      </c>
      <c r="CY2" t="str">
        <f>$AN$59</f>
        <v>2008 Q3</v>
      </c>
      <c r="CZ2" t="str">
        <f>$AO$59</f>
        <v>2008 Q2</v>
      </c>
      <c r="DA2" t="str">
        <f>$AP$59</f>
        <v>2008 Q1</v>
      </c>
      <c r="DB2" t="str">
        <f>$AQ$59</f>
        <v>2007 Q4</v>
      </c>
      <c r="DC2" t="str">
        <f>$AR$59</f>
        <v>2007 Q3</v>
      </c>
      <c r="DD2" t="str">
        <f>$AS$59</f>
        <v>2007 Q2</v>
      </c>
      <c r="DE2" t="str">
        <f>$AT$59</f>
        <v>2007 Q1</v>
      </c>
      <c r="DF2" t="str">
        <f>$AU$59</f>
        <v>2006 Q4</v>
      </c>
      <c r="DG2" t="str">
        <f>$AV$59</f>
        <v>2006 Q3</v>
      </c>
      <c r="DH2" t="str">
        <f>$AW$59</f>
        <v>2006 Q2</v>
      </c>
      <c r="DI2" t="str">
        <f>$AX$59</f>
        <v>2006 Q1</v>
      </c>
      <c r="DJ2" t="str">
        <f>$AY$59</f>
        <v>2005 Q4</v>
      </c>
      <c r="DK2" t="str">
        <f>$AZ$59</f>
        <v>2005 Q3</v>
      </c>
      <c r="DL2" t="str">
        <f>$BA$59</f>
        <v>2005 Q2</v>
      </c>
      <c r="DM2" t="str">
        <f>$BB$59</f>
        <v>2005 Q1</v>
      </c>
      <c r="DN2" t="str">
        <f>$BC$59</f>
        <v>2004 Q4</v>
      </c>
      <c r="DO2" t="str">
        <f>$BD$59</f>
        <v>2004 Q3</v>
      </c>
      <c r="DP2" t="str">
        <f>$BE$59</f>
        <v>2004 Q2</v>
      </c>
      <c r="DQ2" t="str">
        <f>$BF$59</f>
        <v>2004 Q1</v>
      </c>
      <c r="DR2" t="str">
        <f>$BG$59</f>
        <v>2003 Q4</v>
      </c>
      <c r="DS2" t="str">
        <f>$BH$59</f>
        <v>2003 Q3</v>
      </c>
      <c r="DT2" t="str">
        <f>$BI$59</f>
        <v>2003 Q2</v>
      </c>
      <c r="DU2" t="str">
        <f>$BJ$59</f>
        <v>2003 Q1</v>
      </c>
    </row>
    <row r="3" spans="1:125">
      <c r="A3" t="str">
        <f>"办公物业房地产投资信托数据"</f>
        <v>办公物业房地产投资信托数据</v>
      </c>
      <c r="B3" t="str">
        <f>""</f>
        <v/>
      </c>
      <c r="E3" t="str">
        <f>"静态"</f>
        <v>静态</v>
      </c>
      <c r="F3" t="str">
        <f t="shared" ref="F3:AK3" ca="1" si="0">HLOOKUP(INDIRECT(ADDRESS(2,COLUMN())),OFFSET($BN$2,0,0,ROW()-1,60),ROW()-1,FALSE)</f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ref="AL3:BM3" ca="1" si="1">HLOOKUP(INDIRECT(ADDRESS(2,COLUMN())),OFFSET($BN$2,0,0,ROW()-1,60),ROW()-1,FALSE)</f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  <c r="BE3" t="str">
        <f t="shared" ca="1" si="1"/>
        <v/>
      </c>
      <c r="BF3" t="str">
        <f t="shared" ca="1" si="1"/>
        <v/>
      </c>
      <c r="BG3" t="str">
        <f t="shared" ca="1" si="1"/>
        <v/>
      </c>
      <c r="BH3" t="str">
        <f t="shared" ca="1" si="1"/>
        <v/>
      </c>
      <c r="BI3" t="str">
        <f t="shared" ca="1" si="1"/>
        <v/>
      </c>
      <c r="BJ3" t="str">
        <f t="shared" ca="1" si="1"/>
        <v/>
      </c>
      <c r="BK3" t="str">
        <f t="shared" ca="1" si="1"/>
        <v/>
      </c>
      <c r="BL3" t="str">
        <f t="shared" ca="1" si="1"/>
        <v/>
      </c>
      <c r="BM3" t="str">
        <f t="shared" ca="1" si="1"/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    办公楼房地产投资信托同店净营业利润增长"</f>
        <v xml:space="preserve">    办公楼房地产投资信托同店净营业利润增长</v>
      </c>
      <c r="B4" t="str">
        <f>"RECFSSOF Index"</f>
        <v>RECFSSOF Index</v>
      </c>
      <c r="C4" t="str">
        <f>"PR005"</f>
        <v>PR005</v>
      </c>
      <c r="D4" t="str">
        <f>"PX_LAST"</f>
        <v>PX_LAST</v>
      </c>
      <c r="E4" t="str">
        <f>"动态"</f>
        <v>动态</v>
      </c>
      <c r="F4">
        <f ca="1">IF(AND(ISNUMBER($F$34),$B$29=1),$F$34,HLOOKUP(INDIRECT(ADDRESS(2,COLUMN())),OFFSET($BN$2,0,0,ROW()-1,60),ROW()-1,FALSE))</f>
        <v>2.7746050960000002</v>
      </c>
      <c r="G4">
        <f ca="1">IF(AND(ISNUMBER($G$34),$B$29=1),$G$34,HLOOKUP(INDIRECT(ADDRESS(2,COLUMN())),OFFSET($BN$2,0,0,ROW()-1,60),ROW()-1,FALSE))</f>
        <v>3.9324572789999999</v>
      </c>
      <c r="H4">
        <f ca="1">IF(AND(ISNUMBER($H$34),$B$29=1),$H$34,HLOOKUP(INDIRECT(ADDRESS(2,COLUMN())),OFFSET($BN$2,0,0,ROW()-1,60),ROW()-1,FALSE))</f>
        <v>3.4931212149999999</v>
      </c>
      <c r="I4">
        <f ca="1">IF(AND(ISNUMBER($I$34),$B$29=1),$I$34,HLOOKUP(INDIRECT(ADDRESS(2,COLUMN())),OFFSET($BN$2,0,0,ROW()-1,60),ROW()-1,FALSE))</f>
        <v>4.0421379809999998</v>
      </c>
      <c r="J4">
        <f ca="1">IF(AND(ISNUMBER($J$34),$B$29=1),$J$34,HLOOKUP(INDIRECT(ADDRESS(2,COLUMN())),OFFSET($BN$2,0,0,ROW()-1,60),ROW()-1,FALSE))</f>
        <v>3.6513449250000001</v>
      </c>
      <c r="K4">
        <f ca="1">IF(AND(ISNUMBER($K$34),$B$29=1),$K$34,HLOOKUP(INDIRECT(ADDRESS(2,COLUMN())),OFFSET($BN$2,0,0,ROW()-1,60),ROW()-1,FALSE))</f>
        <v>1.768250871</v>
      </c>
      <c r="L4">
        <f ca="1">IF(AND(ISNUMBER($L$34),$B$29=1),$L$34,HLOOKUP(INDIRECT(ADDRESS(2,COLUMN())),OFFSET($BN$2,0,0,ROW()-1,60),ROW()-1,FALSE))</f>
        <v>3.4183047110000002</v>
      </c>
      <c r="M4">
        <f ca="1">IF(AND(ISNUMBER($M$34),$B$29=1),$M$34,HLOOKUP(INDIRECT(ADDRESS(2,COLUMN())),OFFSET($BN$2,0,0,ROW()-1,60),ROW()-1,FALSE))</f>
        <v>5.1420110780000003</v>
      </c>
      <c r="N4">
        <f ca="1">IF(AND(ISNUMBER($N$34),$B$29=1),$N$34,HLOOKUP(INDIRECT(ADDRESS(2,COLUMN())),OFFSET($BN$2,0,0,ROW()-1,60),ROW()-1,FALSE))</f>
        <v>3.0909832339999999</v>
      </c>
      <c r="O4">
        <f ca="1">IF(AND(ISNUMBER($O$34),$B$29=1),$O$34,HLOOKUP(INDIRECT(ADDRESS(2,COLUMN())),OFFSET($BN$2,0,0,ROW()-1,60),ROW()-1,FALSE))</f>
        <v>2.2892894899999998</v>
      </c>
      <c r="P4">
        <f ca="1">IF(AND(ISNUMBER($P$34),$B$29=1),$P$34,HLOOKUP(INDIRECT(ADDRESS(2,COLUMN())),OFFSET($BN$2,0,0,ROW()-1,60),ROW()-1,FALSE))</f>
        <v>2.2801274290000002</v>
      </c>
      <c r="Q4">
        <f ca="1">IF(AND(ISNUMBER($Q$34),$B$29=1),$Q$34,HLOOKUP(INDIRECT(ADDRESS(2,COLUMN())),OFFSET($BN$2,0,0,ROW()-1,60),ROW()-1,FALSE))</f>
        <v>3.7487305430000002</v>
      </c>
      <c r="R4">
        <f ca="1">IF(AND(ISNUMBER($R$34),$B$29=1),$R$34,HLOOKUP(INDIRECT(ADDRESS(2,COLUMN())),OFFSET($BN$2,0,0,ROW()-1,60),ROW()-1,FALSE))</f>
        <v>4.1550428100000003</v>
      </c>
      <c r="S4">
        <f ca="1">IF(AND(ISNUMBER($S$34),$B$29=1),$S$34,HLOOKUP(INDIRECT(ADDRESS(2,COLUMN())),OFFSET($BN$2,0,0,ROW()-1,60),ROW()-1,FALSE))</f>
        <v>4.305784075</v>
      </c>
      <c r="T4">
        <f ca="1">IF(AND(ISNUMBER($T$34),$B$29=1),$T$34,HLOOKUP(INDIRECT(ADDRESS(2,COLUMN())),OFFSET($BN$2,0,0,ROW()-1,60),ROW()-1,FALSE))</f>
        <v>3.228060938</v>
      </c>
      <c r="U4">
        <f ca="1">IF(AND(ISNUMBER($U$34),$B$29=1),$U$34,HLOOKUP(INDIRECT(ADDRESS(2,COLUMN())),OFFSET($BN$2,0,0,ROW()-1,60),ROW()-1,FALSE))</f>
        <v>0.19823532899999999</v>
      </c>
      <c r="V4">
        <f ca="1">IF(AND(ISNUMBER($V$34),$B$29=1),$V$34,HLOOKUP(INDIRECT(ADDRESS(2,COLUMN())),OFFSET($BN$2,0,0,ROW()-1,60),ROW()-1,FALSE))</f>
        <v>3.1782030479999999</v>
      </c>
      <c r="W4">
        <f ca="1">IF(AND(ISNUMBER($W$34),$B$29=1),$W$34,HLOOKUP(INDIRECT(ADDRESS(2,COLUMN())),OFFSET($BN$2,0,0,ROW()-1,60),ROW()-1,FALSE))</f>
        <v>2.2074521620000001</v>
      </c>
      <c r="X4">
        <f ca="1">IF(AND(ISNUMBER($X$34),$B$29=1),$X$34,HLOOKUP(INDIRECT(ADDRESS(2,COLUMN())),OFFSET($BN$2,0,0,ROW()-1,60),ROW()-1,FALSE))</f>
        <v>3.518876369</v>
      </c>
      <c r="Y4">
        <f ca="1">IF(AND(ISNUMBER($Y$34),$B$29=1),$Y$34,HLOOKUP(INDIRECT(ADDRESS(2,COLUMN())),OFFSET($BN$2,0,0,ROW()-1,60),ROW()-1,FALSE))</f>
        <v>2.4214955630000001</v>
      </c>
      <c r="Z4">
        <f ca="1">IF(AND(ISNUMBER($Z$34),$B$29=1),$Z$34,HLOOKUP(INDIRECT(ADDRESS(2,COLUMN())),OFFSET($BN$2,0,0,ROW()-1,60),ROW()-1,FALSE))</f>
        <v>1.9639135109999999</v>
      </c>
      <c r="AA4">
        <f ca="1">IF(AND(ISNUMBER($AA$34),$B$29=1),$AA$34,HLOOKUP(INDIRECT(ADDRESS(2,COLUMN())),OFFSET($BN$2,0,0,ROW()-1,60),ROW()-1,FALSE))</f>
        <v>0.35070816199999999</v>
      </c>
      <c r="AB4">
        <f ca="1">IF(AND(ISNUMBER($AB$34),$B$29=1),$AB$34,HLOOKUP(INDIRECT(ADDRESS(2,COLUMN())),OFFSET($BN$2,0,0,ROW()-1,60),ROW()-1,FALSE))</f>
        <v>0.36322233100000001</v>
      </c>
      <c r="AC4">
        <f ca="1">IF(AND(ISNUMBER($AC$34),$B$29=1),$AC$34,HLOOKUP(INDIRECT(ADDRESS(2,COLUMN())),OFFSET($BN$2,0,0,ROW()-1,60),ROW()-1,FALSE))</f>
        <v>2.2847710010000002</v>
      </c>
      <c r="AD4">
        <f ca="1">IF(AND(ISNUMBER($AD$34),$B$29=1),$AD$34,HLOOKUP(INDIRECT(ADDRESS(2,COLUMN())),OFFSET($BN$2,0,0,ROW()-1,60),ROW()-1,FALSE))</f>
        <v>-0.90233592200000001</v>
      </c>
      <c r="AE4">
        <f ca="1">IF(AND(ISNUMBER($AE$34),$B$29=1),$AE$34,HLOOKUP(INDIRECT(ADDRESS(2,COLUMN())),OFFSET($BN$2,0,0,ROW()-1,60),ROW()-1,FALSE))</f>
        <v>0.928442879</v>
      </c>
      <c r="AF4">
        <f ca="1">IF(AND(ISNUMBER($AF$34),$B$29=1),$AF$34,HLOOKUP(INDIRECT(ADDRESS(2,COLUMN())),OFFSET($BN$2,0,0,ROW()-1,60),ROW()-1,FALSE))</f>
        <v>1.037064607</v>
      </c>
      <c r="AG4">
        <f ca="1">IF(AND(ISNUMBER($AG$34),$B$29=1),$AG$34,HLOOKUP(INDIRECT(ADDRESS(2,COLUMN())),OFFSET($BN$2,0,0,ROW()-1,60),ROW()-1,FALSE))</f>
        <v>-1.402062892</v>
      </c>
      <c r="AH4">
        <f ca="1">IF(AND(ISNUMBER($AH$34),$B$29=1),$AH$34,HLOOKUP(INDIRECT(ADDRESS(2,COLUMN())),OFFSET($BN$2,0,0,ROW()-1,60),ROW()-1,FALSE))</f>
        <v>-0.24291204999999999</v>
      </c>
      <c r="AI4">
        <f ca="1">IF(AND(ISNUMBER($AI$34),$B$29=1),$AI$34,HLOOKUP(INDIRECT(ADDRESS(2,COLUMN())),OFFSET($BN$2,0,0,ROW()-1,60),ROW()-1,FALSE))</f>
        <v>-2.32614075</v>
      </c>
      <c r="AJ4">
        <f ca="1">IF(AND(ISNUMBER($AJ$34),$B$29=1),$AJ$34,HLOOKUP(INDIRECT(ADDRESS(2,COLUMN())),OFFSET($BN$2,0,0,ROW()-1,60),ROW()-1,FALSE))</f>
        <v>-3.150922913</v>
      </c>
      <c r="AK4">
        <f ca="1">IF(AND(ISNUMBER($AK$34),$B$29=1),$AK$34,HLOOKUP(INDIRECT(ADDRESS(2,COLUMN())),OFFSET($BN$2,0,0,ROW()-1,60),ROW()-1,FALSE))</f>
        <v>-2.0340888879999999</v>
      </c>
      <c r="AL4">
        <f ca="1">IF(AND(ISNUMBER($AL$34),$B$29=1),$AL$34,HLOOKUP(INDIRECT(ADDRESS(2,COLUMN())),OFFSET($BN$2,0,0,ROW()-1,60),ROW()-1,FALSE))</f>
        <v>-1.5235137679999999</v>
      </c>
      <c r="AM4">
        <f ca="1">IF(AND(ISNUMBER($AM$34),$B$29=1),$AM$34,HLOOKUP(INDIRECT(ADDRESS(2,COLUMN())),OFFSET($BN$2,0,0,ROW()-1,60),ROW()-1,FALSE))</f>
        <v>-0.31767884899999999</v>
      </c>
      <c r="AN4">
        <f ca="1">IF(AND(ISNUMBER($AN$34),$B$29=1),$AN$34,HLOOKUP(INDIRECT(ADDRESS(2,COLUMN())),OFFSET($BN$2,0,0,ROW()-1,60),ROW()-1,FALSE))</f>
        <v>0.86619610899999999</v>
      </c>
      <c r="AO4">
        <f ca="1">IF(AND(ISNUMBER($AO$34),$B$29=1),$AO$34,HLOOKUP(INDIRECT(ADDRESS(2,COLUMN())),OFFSET($BN$2,0,0,ROW()-1,60),ROW()-1,FALSE))</f>
        <v>0.68224250099999995</v>
      </c>
      <c r="AP4">
        <f ca="1">IF(AND(ISNUMBER($AP$34),$B$29=1),$AP$34,HLOOKUP(INDIRECT(ADDRESS(2,COLUMN())),OFFSET($BN$2,0,0,ROW()-1,60),ROW()-1,FALSE))</f>
        <v>2.0367696460000002</v>
      </c>
      <c r="AQ4">
        <f ca="1">IF(AND(ISNUMBER($AQ$34),$B$29=1),$AQ$34,HLOOKUP(INDIRECT(ADDRESS(2,COLUMN())),OFFSET($BN$2,0,0,ROW()-1,60),ROW()-1,FALSE))</f>
        <v>2.6129088720000002</v>
      </c>
      <c r="AR4">
        <f ca="1">IF(AND(ISNUMBER($AR$34),$B$29=1),$AR$34,HLOOKUP(INDIRECT(ADDRESS(2,COLUMN())),OFFSET($BN$2,0,0,ROW()-1,60),ROW()-1,FALSE))</f>
        <v>3.5182341610000001</v>
      </c>
      <c r="AS4">
        <f ca="1">IF(AND(ISNUMBER($AS$34),$B$29=1),$AS$34,HLOOKUP(INDIRECT(ADDRESS(2,COLUMN())),OFFSET($BN$2,0,0,ROW()-1,60),ROW()-1,FALSE))</f>
        <v>4.2738464829999998</v>
      </c>
      <c r="AT4">
        <f ca="1">IF(AND(ISNUMBER($AT$34),$B$29=1),$AT$34,HLOOKUP(INDIRECT(ADDRESS(2,COLUMN())),OFFSET($BN$2,0,0,ROW()-1,60),ROW()-1,FALSE))</f>
        <v>0.12632320799999999</v>
      </c>
      <c r="AU4">
        <f ca="1">IF(AND(ISNUMBER($AU$34),$B$29=1),$AU$34,HLOOKUP(INDIRECT(ADDRESS(2,COLUMN())),OFFSET($BN$2,0,0,ROW()-1,60),ROW()-1,FALSE))</f>
        <v>2.6272893009999998</v>
      </c>
      <c r="AV4">
        <f ca="1">IF(AND(ISNUMBER($AV$34),$B$29=1),$AV$34,HLOOKUP(INDIRECT(ADDRESS(2,COLUMN())),OFFSET($BN$2,0,0,ROW()-1,60),ROW()-1,FALSE))</f>
        <v>2.8399634069999999</v>
      </c>
      <c r="AW4">
        <f ca="1">IF(AND(ISNUMBER($AW$34),$B$29=1),$AW$34,HLOOKUP(INDIRECT(ADDRESS(2,COLUMN())),OFFSET($BN$2,0,0,ROW()-1,60),ROW()-1,FALSE))</f>
        <v>2.7100113010000002</v>
      </c>
      <c r="AX4">
        <f ca="1">IF(AND(ISNUMBER($AX$34),$B$29=1),$AX$34,HLOOKUP(INDIRECT(ADDRESS(2,COLUMN())),OFFSET($BN$2,0,0,ROW()-1,60),ROW()-1,FALSE))</f>
        <v>6.5462735399999996</v>
      </c>
      <c r="AY4">
        <f ca="1">IF(AND(ISNUMBER($AY$34),$B$29=1),$AY$34,HLOOKUP(INDIRECT(ADDRESS(2,COLUMN())),OFFSET($BN$2,0,0,ROW()-1,60),ROW()-1,FALSE))</f>
        <v>2.115952396</v>
      </c>
      <c r="AZ4">
        <f ca="1">IF(AND(ISNUMBER($AZ$34),$B$29=1),$AZ$34,HLOOKUP(INDIRECT(ADDRESS(2,COLUMN())),OFFSET($BN$2,0,0,ROW()-1,60),ROW()-1,FALSE))</f>
        <v>0.81067504899999998</v>
      </c>
      <c r="BA4">
        <f ca="1">IF(AND(ISNUMBER($BA$34),$B$29=1),$BA$34,HLOOKUP(INDIRECT(ADDRESS(2,COLUMN())),OFFSET($BN$2,0,0,ROW()-1,60),ROW()-1,FALSE))</f>
        <v>-2.758033035</v>
      </c>
      <c r="BB4">
        <f ca="1">IF(AND(ISNUMBER($BB$34),$B$29=1),$BB$34,HLOOKUP(INDIRECT(ADDRESS(2,COLUMN())),OFFSET($BN$2,0,0,ROW()-1,60),ROW()-1,FALSE))</f>
        <v>-1.863088436</v>
      </c>
      <c r="BC4">
        <f ca="1">IF(AND(ISNUMBER($BC$34),$B$29=1),$BC$34,HLOOKUP(INDIRECT(ADDRESS(2,COLUMN())),OFFSET($BN$2,0,0,ROW()-1,60),ROW()-1,FALSE))</f>
        <v>-0.99029466700000002</v>
      </c>
      <c r="BD4">
        <f ca="1">IF(AND(ISNUMBER($BD$34),$B$29=1),$BD$34,HLOOKUP(INDIRECT(ADDRESS(2,COLUMN())),OFFSET($BN$2,0,0,ROW()-1,60),ROW()-1,FALSE))</f>
        <v>0.47314734800000002</v>
      </c>
      <c r="BE4">
        <f ca="1">IF(AND(ISNUMBER($BE$34),$B$29=1),$BE$34,HLOOKUP(INDIRECT(ADDRESS(2,COLUMN())),OFFSET($BN$2,0,0,ROW()-1,60),ROW()-1,FALSE))</f>
        <v>-2.7932083999999999E-2</v>
      </c>
      <c r="BF4">
        <f ca="1">IF(AND(ISNUMBER($BF$34),$B$29=1),$BF$34,HLOOKUP(INDIRECT(ADDRESS(2,COLUMN())),OFFSET($BN$2,0,0,ROW()-1,60),ROW()-1,FALSE))</f>
        <v>-1.5236284600000001</v>
      </c>
      <c r="BG4">
        <f ca="1">IF(AND(ISNUMBER($BG$34),$B$29=1),$BG$34,HLOOKUP(INDIRECT(ADDRESS(2,COLUMN())),OFFSET($BN$2,0,0,ROW()-1,60),ROW()-1,FALSE))</f>
        <v>-2.3343811319999999</v>
      </c>
      <c r="BH4">
        <f ca="1">IF(AND(ISNUMBER($BH$34),$B$29=1),$BH$34,HLOOKUP(INDIRECT(ADDRESS(2,COLUMN())),OFFSET($BN$2,0,0,ROW()-1,60),ROW()-1,FALSE))</f>
        <v>0.78361712699999997</v>
      </c>
      <c r="BI4">
        <f ca="1">IF(AND(ISNUMBER($BI$34),$B$29=1),$BI$34,HLOOKUP(INDIRECT(ADDRESS(2,COLUMN())),OFFSET($BN$2,0,0,ROW()-1,60),ROW()-1,FALSE))</f>
        <v>-2.6129890310000001</v>
      </c>
      <c r="BJ4">
        <f ca="1">IF(AND(ISNUMBER($BJ$34),$B$29=1),$BJ$34,HLOOKUP(INDIRECT(ADDRESS(2,COLUMN())),OFFSET($BN$2,0,0,ROW()-1,60),ROW()-1,FALSE))</f>
        <v>-3.824413925</v>
      </c>
      <c r="BK4">
        <f ca="1">IF(AND(ISNUMBER($BK$34),$B$29=1),$BK$34,HLOOKUP(INDIRECT(ADDRESS(2,COLUMN())),OFFSET($BN$2,0,0,ROW()-1,60),ROW()-1,FALSE))</f>
        <v>-4.0463486389999996</v>
      </c>
      <c r="BL4">
        <f ca="1">IF(AND(ISNUMBER($BL$34),$B$29=1),$BL$34,HLOOKUP(INDIRECT(ADDRESS(2,COLUMN())),OFFSET($BN$2,0,0,ROW()-1,60),ROW()-1,FALSE))</f>
        <v>-4.4274497420000003</v>
      </c>
      <c r="BM4">
        <f ca="1">IF(AND(ISNUMBER($BM$34),$B$29=1),$BM$34,HLOOKUP(INDIRECT(ADDRESS(2,COLUMN())),OFFSET($BN$2,0,0,ROW()-1,60),ROW()-1,FALSE))</f>
        <v>-4.9431923409999996</v>
      </c>
      <c r="BN4">
        <f>2.774605096</f>
        <v>2.7746050960000002</v>
      </c>
      <c r="BO4">
        <f>3.932457279</f>
        <v>3.9324572789999999</v>
      </c>
      <c r="BP4">
        <f>3.493121215</f>
        <v>3.4931212149999999</v>
      </c>
      <c r="BQ4">
        <f>4.042137981</f>
        <v>4.0421379809999998</v>
      </c>
      <c r="BR4">
        <f>3.651344925</f>
        <v>3.6513449250000001</v>
      </c>
      <c r="BS4">
        <f>1.768250871</f>
        <v>1.768250871</v>
      </c>
      <c r="BT4">
        <f>3.418304711</f>
        <v>3.4183047110000002</v>
      </c>
      <c r="BU4">
        <f>5.142011078</f>
        <v>5.1420110780000003</v>
      </c>
      <c r="BV4">
        <f>3.090983234</f>
        <v>3.0909832339999999</v>
      </c>
      <c r="BW4">
        <f>2.28928949</f>
        <v>2.2892894899999998</v>
      </c>
      <c r="BX4">
        <f>2.280127429</f>
        <v>2.2801274290000002</v>
      </c>
      <c r="BY4">
        <f>3.748730543</f>
        <v>3.7487305430000002</v>
      </c>
      <c r="BZ4">
        <f>4.15504281</f>
        <v>4.1550428100000003</v>
      </c>
      <c r="CA4">
        <f>4.305784075</f>
        <v>4.305784075</v>
      </c>
      <c r="CB4">
        <f>3.228060938</f>
        <v>3.228060938</v>
      </c>
      <c r="CC4">
        <f>0.198235329</f>
        <v>0.19823532899999999</v>
      </c>
      <c r="CD4">
        <f>3.178203048</f>
        <v>3.1782030479999999</v>
      </c>
      <c r="CE4">
        <f>2.207452162</f>
        <v>2.2074521620000001</v>
      </c>
      <c r="CF4">
        <f>3.518876369</f>
        <v>3.518876369</v>
      </c>
      <c r="CG4">
        <f>2.421495563</f>
        <v>2.4214955630000001</v>
      </c>
      <c r="CH4">
        <f>1.963913511</f>
        <v>1.9639135109999999</v>
      </c>
      <c r="CI4">
        <f>0.350708162</f>
        <v>0.35070816199999999</v>
      </c>
      <c r="CJ4">
        <f>0.363222331</f>
        <v>0.36322233100000001</v>
      </c>
      <c r="CK4">
        <f>2.284771001</f>
        <v>2.2847710010000002</v>
      </c>
      <c r="CL4">
        <f>-0.902335922</f>
        <v>-0.90233592200000001</v>
      </c>
      <c r="CM4">
        <f>0.928442879</f>
        <v>0.928442879</v>
      </c>
      <c r="CN4">
        <f>1.037064607</f>
        <v>1.037064607</v>
      </c>
      <c r="CO4">
        <f>-1.402062892</f>
        <v>-1.402062892</v>
      </c>
      <c r="CP4">
        <f>-0.24291205</f>
        <v>-0.24291204999999999</v>
      </c>
      <c r="CQ4">
        <f>-2.32614075</f>
        <v>-2.32614075</v>
      </c>
      <c r="CR4">
        <f>-3.150922913</f>
        <v>-3.150922913</v>
      </c>
      <c r="CS4">
        <f>-2.034088888</f>
        <v>-2.0340888879999999</v>
      </c>
      <c r="CT4">
        <f>-1.523513768</f>
        <v>-1.5235137679999999</v>
      </c>
      <c r="CU4">
        <f>-0.317678849</f>
        <v>-0.31767884899999999</v>
      </c>
      <c r="CV4">
        <f>0.866196109</f>
        <v>0.86619610899999999</v>
      </c>
      <c r="CW4">
        <f>0.682242501</f>
        <v>0.68224250099999995</v>
      </c>
      <c r="CX4">
        <f>2.036769646</f>
        <v>2.0367696460000002</v>
      </c>
      <c r="CY4">
        <f>2.612908872</f>
        <v>2.6129088720000002</v>
      </c>
      <c r="CZ4">
        <f>3.518234161</f>
        <v>3.5182341610000001</v>
      </c>
      <c r="DA4">
        <f>4.273846483</f>
        <v>4.2738464829999998</v>
      </c>
      <c r="DB4">
        <f>0.126323208</f>
        <v>0.12632320799999999</v>
      </c>
      <c r="DC4">
        <f>2.627289301</f>
        <v>2.6272893009999998</v>
      </c>
      <c r="DD4">
        <f>2.839963407</f>
        <v>2.8399634069999999</v>
      </c>
      <c r="DE4">
        <f>2.710011301</f>
        <v>2.7100113010000002</v>
      </c>
      <c r="DF4">
        <f>6.54627354</f>
        <v>6.5462735399999996</v>
      </c>
      <c r="DG4">
        <f>2.115952396</f>
        <v>2.115952396</v>
      </c>
      <c r="DH4">
        <f>0.810675049</f>
        <v>0.81067504899999998</v>
      </c>
      <c r="DI4">
        <f>-2.758033035</f>
        <v>-2.758033035</v>
      </c>
      <c r="DJ4">
        <f>-1.863088436</f>
        <v>-1.863088436</v>
      </c>
      <c r="DK4">
        <f>-0.990294667</f>
        <v>-0.99029466700000002</v>
      </c>
      <c r="DL4">
        <f>0.473147348</f>
        <v>0.47314734800000002</v>
      </c>
      <c r="DM4">
        <f>-0.027932084</f>
        <v>-2.7932083999999999E-2</v>
      </c>
      <c r="DN4">
        <f>-1.52362846</f>
        <v>-1.5236284600000001</v>
      </c>
      <c r="DO4">
        <f>-2.334381132</f>
        <v>-2.3343811319999999</v>
      </c>
      <c r="DP4">
        <f>0.783617127</f>
        <v>0.78361712699999997</v>
      </c>
      <c r="DQ4">
        <f>-2.612989031</f>
        <v>-2.6129890310000001</v>
      </c>
      <c r="DR4">
        <f>-3.824413925</f>
        <v>-3.824413925</v>
      </c>
      <c r="DS4">
        <f>-4.046348639</f>
        <v>-4.0463486389999996</v>
      </c>
      <c r="DT4">
        <f>-4.427449742</f>
        <v>-4.4274497420000003</v>
      </c>
      <c r="DU4">
        <f>-4.943192341</f>
        <v>-4.9431923409999996</v>
      </c>
    </row>
    <row r="5" spans="1:125">
      <c r="A5" t="str">
        <f>"    办公楼房地产投资信托平均入住率"</f>
        <v xml:space="preserve">    办公楼房地产投资信托平均入住率</v>
      </c>
      <c r="B5" t="str">
        <f>"RECFAVOF Index"</f>
        <v>RECFAVOF Index</v>
      </c>
      <c r="C5" t="str">
        <f>"PR005"</f>
        <v>PR005</v>
      </c>
      <c r="D5" t="str">
        <f>"PX_LAST"</f>
        <v>PX_LAST</v>
      </c>
      <c r="E5" t="str">
        <f>"动态"</f>
        <v>动态</v>
      </c>
      <c r="F5">
        <f ca="1">IF(AND(ISNUMBER($F$35),$B$29=1),$F$35,HLOOKUP(INDIRECT(ADDRESS(2,COLUMN())),OFFSET($BN$2,0,0,ROW()-1,60),ROW()-1,FALSE))</f>
        <v>91.855484039999993</v>
      </c>
      <c r="G5">
        <f ca="1">IF(AND(ISNUMBER($G$35),$B$29=1),$G$35,HLOOKUP(INDIRECT(ADDRESS(2,COLUMN())),OFFSET($BN$2,0,0,ROW()-1,60),ROW()-1,FALSE))</f>
        <v>91.344438729999993</v>
      </c>
      <c r="H5">
        <f ca="1">IF(AND(ISNUMBER($H$35),$B$29=1),$H$35,HLOOKUP(INDIRECT(ADDRESS(2,COLUMN())),OFFSET($BN$2,0,0,ROW()-1,60),ROW()-1,FALSE))</f>
        <v>91.186470130000004</v>
      </c>
      <c r="I5">
        <f ca="1">IF(AND(ISNUMBER($I$35),$B$29=1),$I$35,HLOOKUP(INDIRECT(ADDRESS(2,COLUMN())),OFFSET($BN$2,0,0,ROW()-1,60),ROW()-1,FALSE))</f>
        <v>90.980479829999993</v>
      </c>
      <c r="J5">
        <f ca="1">IF(AND(ISNUMBER($J$35),$B$29=1),$J$35,HLOOKUP(INDIRECT(ADDRESS(2,COLUMN())),OFFSET($BN$2,0,0,ROW()-1,60),ROW()-1,FALSE))</f>
        <v>91.929307019999996</v>
      </c>
      <c r="K5">
        <f ca="1">IF(AND(ISNUMBER($K$35),$B$29=1),$K$35,HLOOKUP(INDIRECT(ADDRESS(2,COLUMN())),OFFSET($BN$2,0,0,ROW()-1,60),ROW()-1,FALSE))</f>
        <v>91.138496459999999</v>
      </c>
      <c r="L5">
        <f ca="1">IF(AND(ISNUMBER($L$35),$B$29=1),$L$35,HLOOKUP(INDIRECT(ADDRESS(2,COLUMN())),OFFSET($BN$2,0,0,ROW()-1,60),ROW()-1,FALSE))</f>
        <v>91.214136569999994</v>
      </c>
      <c r="M5">
        <f ca="1">IF(AND(ISNUMBER($M$35),$B$29=1),$M$35,HLOOKUP(INDIRECT(ADDRESS(2,COLUMN())),OFFSET($BN$2,0,0,ROW()-1,60),ROW()-1,FALSE))</f>
        <v>92.029696209999997</v>
      </c>
      <c r="N5">
        <f ca="1">IF(AND(ISNUMBER($N$35),$B$29=1),$N$35,HLOOKUP(INDIRECT(ADDRESS(2,COLUMN())),OFFSET($BN$2,0,0,ROW()-1,60),ROW()-1,FALSE))</f>
        <v>91.685472700000005</v>
      </c>
      <c r="O5">
        <f ca="1">IF(AND(ISNUMBER($O$35),$B$29=1),$O$35,HLOOKUP(INDIRECT(ADDRESS(2,COLUMN())),OFFSET($BN$2,0,0,ROW()-1,60),ROW()-1,FALSE))</f>
        <v>91.275559270000002</v>
      </c>
      <c r="P5">
        <f ca="1">IF(AND(ISNUMBER($P$35),$B$29=1),$P$35,HLOOKUP(INDIRECT(ADDRESS(2,COLUMN())),OFFSET($BN$2,0,0,ROW()-1,60),ROW()-1,FALSE))</f>
        <v>91.399770889999999</v>
      </c>
      <c r="Q5">
        <f ca="1">IF(AND(ISNUMBER($Q$35),$B$29=1),$Q$35,HLOOKUP(INDIRECT(ADDRESS(2,COLUMN())),OFFSET($BN$2,0,0,ROW()-1,60),ROW()-1,FALSE))</f>
        <v>90.663645130000006</v>
      </c>
      <c r="R5">
        <f ca="1">IF(AND(ISNUMBER($R$35),$B$29=1),$R$35,HLOOKUP(INDIRECT(ADDRESS(2,COLUMN())),OFFSET($BN$2,0,0,ROW()-1,60),ROW()-1,FALSE))</f>
        <v>90.686209919999996</v>
      </c>
      <c r="S5">
        <f ca="1">IF(AND(ISNUMBER($S$35),$B$29=1),$S$35,HLOOKUP(INDIRECT(ADDRESS(2,COLUMN())),OFFSET($BN$2,0,0,ROW()-1,60),ROW()-1,FALSE))</f>
        <v>90.554403649999998</v>
      </c>
      <c r="T5">
        <f ca="1">IF(AND(ISNUMBER($T$35),$B$29=1),$T$35,HLOOKUP(INDIRECT(ADDRESS(2,COLUMN())),OFFSET($BN$2,0,0,ROW()-1,60),ROW()-1,FALSE))</f>
        <v>90.779080210000004</v>
      </c>
      <c r="U5">
        <f ca="1">IF(AND(ISNUMBER($U$35),$B$29=1),$U$35,HLOOKUP(INDIRECT(ADDRESS(2,COLUMN())),OFFSET($BN$2,0,0,ROW()-1,60),ROW()-1,FALSE))</f>
        <v>90.846091909999998</v>
      </c>
      <c r="V5">
        <f ca="1">IF(AND(ISNUMBER($V$35),$B$29=1),$V$35,HLOOKUP(INDIRECT(ADDRESS(2,COLUMN())),OFFSET($BN$2,0,0,ROW()-1,60),ROW()-1,FALSE))</f>
        <v>91.176086049999995</v>
      </c>
      <c r="W5">
        <f ca="1">IF(AND(ISNUMBER($W$35),$B$29=1),$W$35,HLOOKUP(INDIRECT(ADDRESS(2,COLUMN())),OFFSET($BN$2,0,0,ROW()-1,60),ROW()-1,FALSE))</f>
        <v>91.002148320000003</v>
      </c>
      <c r="X5">
        <f ca="1">IF(AND(ISNUMBER($X$35),$B$29=1),$X$35,HLOOKUP(INDIRECT(ADDRESS(2,COLUMN())),OFFSET($BN$2,0,0,ROW()-1,60),ROW()-1,FALSE))</f>
        <v>90.331488059999998</v>
      </c>
      <c r="Y5">
        <f ca="1">IF(AND(ISNUMBER($Y$35),$B$29=1),$Y$35,HLOOKUP(INDIRECT(ADDRESS(2,COLUMN())),OFFSET($BN$2,0,0,ROW()-1,60),ROW()-1,FALSE))</f>
        <v>89.678297520000001</v>
      </c>
      <c r="Z5">
        <f ca="1">IF(AND(ISNUMBER($Z$35),$B$29=1),$Z$35,HLOOKUP(INDIRECT(ADDRESS(2,COLUMN())),OFFSET($BN$2,0,0,ROW()-1,60),ROW()-1,FALSE))</f>
        <v>89.829140960000004</v>
      </c>
      <c r="AA5">
        <f ca="1">IF(AND(ISNUMBER($AA$35),$B$29=1),$AA$35,HLOOKUP(INDIRECT(ADDRESS(2,COLUMN())),OFFSET($BN$2,0,0,ROW()-1,60),ROW()-1,FALSE))</f>
        <v>88.741269070000001</v>
      </c>
      <c r="AB5">
        <f ca="1">IF(AND(ISNUMBER($AB$35),$B$29=1),$AB$35,HLOOKUP(INDIRECT(ADDRESS(2,COLUMN())),OFFSET($BN$2,0,0,ROW()-1,60),ROW()-1,FALSE))</f>
        <v>88.95819865</v>
      </c>
      <c r="AC5">
        <f ca="1">IF(AND(ISNUMBER($AC$35),$B$29=1),$AC$35,HLOOKUP(INDIRECT(ADDRESS(2,COLUMN())),OFFSET($BN$2,0,0,ROW()-1,60),ROW()-1,FALSE))</f>
        <v>88.931884789999998</v>
      </c>
      <c r="AD5">
        <f ca="1">IF(AND(ISNUMBER($AD$35),$B$29=1),$AD$35,HLOOKUP(INDIRECT(ADDRESS(2,COLUMN())),OFFSET($BN$2,0,0,ROW()-1,60),ROW()-1,FALSE))</f>
        <v>88.658478970000004</v>
      </c>
      <c r="AE5">
        <f ca="1">IF(AND(ISNUMBER($AE$35),$B$29=1),$AE$35,HLOOKUP(INDIRECT(ADDRESS(2,COLUMN())),OFFSET($BN$2,0,0,ROW()-1,60),ROW()-1,FALSE))</f>
        <v>88.383146670000002</v>
      </c>
      <c r="AF5">
        <f ca="1">IF(AND(ISNUMBER($AF$35),$B$29=1),$AF$35,HLOOKUP(INDIRECT(ADDRESS(2,COLUMN())),OFFSET($BN$2,0,0,ROW()-1,60),ROW()-1,FALSE))</f>
        <v>88.595616120000003</v>
      </c>
      <c r="AG5">
        <f ca="1">IF(AND(ISNUMBER($AG$35),$B$29=1),$AG$35,HLOOKUP(INDIRECT(ADDRESS(2,COLUMN())),OFFSET($BN$2,0,0,ROW()-1,60),ROW()-1,FALSE))</f>
        <v>88.019002610000001</v>
      </c>
      <c r="AH5">
        <f ca="1">IF(AND(ISNUMBER($AH$35),$B$29=1),$AH$35,HLOOKUP(INDIRECT(ADDRESS(2,COLUMN())),OFFSET($BN$2,0,0,ROW()-1,60),ROW()-1,FALSE))</f>
        <v>88.675381759999993</v>
      </c>
      <c r="AI5">
        <f ca="1">IF(AND(ISNUMBER($AI$35),$B$29=1),$AI$35,HLOOKUP(INDIRECT(ADDRESS(2,COLUMN())),OFFSET($BN$2,0,0,ROW()-1,60),ROW()-1,FALSE))</f>
        <v>87.918039620000002</v>
      </c>
      <c r="AJ5">
        <f ca="1">IF(AND(ISNUMBER($AJ$35),$B$29=1),$AJ$35,HLOOKUP(INDIRECT(ADDRESS(2,COLUMN())),OFFSET($BN$2,0,0,ROW()-1,60),ROW()-1,FALSE))</f>
        <v>87.975553410000003</v>
      </c>
      <c r="AK5">
        <f ca="1">IF(AND(ISNUMBER($AK$35),$B$29=1),$AK$35,HLOOKUP(INDIRECT(ADDRESS(2,COLUMN())),OFFSET($BN$2,0,0,ROW()-1,60),ROW()-1,FALSE))</f>
        <v>87.839192569999994</v>
      </c>
      <c r="AL5">
        <f ca="1">IF(AND(ISNUMBER($AL$35),$B$29=1),$AL$35,HLOOKUP(INDIRECT(ADDRESS(2,COLUMN())),OFFSET($BN$2,0,0,ROW()-1,60),ROW()-1,FALSE))</f>
        <v>88.732352809999995</v>
      </c>
      <c r="AM5">
        <f ca="1">IF(AND(ISNUMBER($AM$35),$B$29=1),$AM$35,HLOOKUP(INDIRECT(ADDRESS(2,COLUMN())),OFFSET($BN$2,0,0,ROW()-1,60),ROW()-1,FALSE))</f>
        <v>88.712703320000003</v>
      </c>
      <c r="AN5">
        <f ca="1">IF(AND(ISNUMBER($AN$35),$B$29=1),$AN$35,HLOOKUP(INDIRECT(ADDRESS(2,COLUMN())),OFFSET($BN$2,0,0,ROW()-1,60),ROW()-1,FALSE))</f>
        <v>89.133439050000007</v>
      </c>
      <c r="AO5">
        <f ca="1">IF(AND(ISNUMBER($AO$35),$B$29=1),$AO$35,HLOOKUP(INDIRECT(ADDRESS(2,COLUMN())),OFFSET($BN$2,0,0,ROW()-1,60),ROW()-1,FALSE))</f>
        <v>90.038582469999994</v>
      </c>
      <c r="AP5">
        <f ca="1">IF(AND(ISNUMBER($AP$35),$B$29=1),$AP$35,HLOOKUP(INDIRECT(ADDRESS(2,COLUMN())),OFFSET($BN$2,0,0,ROW()-1,60),ROW()-1,FALSE))</f>
        <v>90.768096999999997</v>
      </c>
      <c r="AQ5">
        <f ca="1">IF(AND(ISNUMBER($AQ$35),$B$29=1),$AQ$35,HLOOKUP(INDIRECT(ADDRESS(2,COLUMN())),OFFSET($BN$2,0,0,ROW()-1,60),ROW()-1,FALSE))</f>
        <v>91.285400460000005</v>
      </c>
      <c r="AR5">
        <f ca="1">IF(AND(ISNUMBER($AR$35),$B$29=1),$AR$35,HLOOKUP(INDIRECT(ADDRESS(2,COLUMN())),OFFSET($BN$2,0,0,ROW()-1,60),ROW()-1,FALSE))</f>
        <v>91.416728989999996</v>
      </c>
      <c r="AS5">
        <f ca="1">IF(AND(ISNUMBER($AS$35),$B$29=1),$AS$35,HLOOKUP(INDIRECT(ADDRESS(2,COLUMN())),OFFSET($BN$2,0,0,ROW()-1,60),ROW()-1,FALSE))</f>
        <v>91.497210280000004</v>
      </c>
      <c r="AT5">
        <f ca="1">IF(AND(ISNUMBER($AT$35),$B$29=1),$AT$35,HLOOKUP(INDIRECT(ADDRESS(2,COLUMN())),OFFSET($BN$2,0,0,ROW()-1,60),ROW()-1,FALSE))</f>
        <v>91.854679599999997</v>
      </c>
      <c r="AU5">
        <f ca="1">IF(AND(ISNUMBER($AU$35),$B$29=1),$AU$35,HLOOKUP(INDIRECT(ADDRESS(2,COLUMN())),OFFSET($BN$2,0,0,ROW()-1,60),ROW()-1,FALSE))</f>
        <v>91.412150600000004</v>
      </c>
      <c r="AV5">
        <f ca="1">IF(AND(ISNUMBER($AV$35),$B$29=1),$AV$35,HLOOKUP(INDIRECT(ADDRESS(2,COLUMN())),OFFSET($BN$2,0,0,ROW()-1,60),ROW()-1,FALSE))</f>
        <v>91.105825620000005</v>
      </c>
      <c r="AW5">
        <f ca="1">IF(AND(ISNUMBER($AW$35),$B$29=1),$AW$35,HLOOKUP(INDIRECT(ADDRESS(2,COLUMN())),OFFSET($BN$2,0,0,ROW()-1,60),ROW()-1,FALSE))</f>
        <v>91.11459223</v>
      </c>
      <c r="AX5">
        <f ca="1">IF(AND(ISNUMBER($AX$35),$B$29=1),$AX$35,HLOOKUP(INDIRECT(ADDRESS(2,COLUMN())),OFFSET($BN$2,0,0,ROW()-1,60),ROW()-1,FALSE))</f>
        <v>91.719706090000003</v>
      </c>
      <c r="AY5">
        <f ca="1">IF(AND(ISNUMBER($AY$35),$B$29=1),$AY$35,HLOOKUP(INDIRECT(ADDRESS(2,COLUMN())),OFFSET($BN$2,0,0,ROW()-1,60),ROW()-1,FALSE))</f>
        <v>91.433660990000007</v>
      </c>
      <c r="AZ5">
        <f ca="1">IF(AND(ISNUMBER($AZ$35),$B$29=1),$AZ$35,HLOOKUP(INDIRECT(ADDRESS(2,COLUMN())),OFFSET($BN$2,0,0,ROW()-1,60),ROW()-1,FALSE))</f>
        <v>90.909155170000005</v>
      </c>
      <c r="BA5">
        <f ca="1">IF(AND(ISNUMBER($BA$35),$B$29=1),$BA$35,HLOOKUP(INDIRECT(ADDRESS(2,COLUMN())),OFFSET($BN$2,0,0,ROW()-1,60),ROW()-1,FALSE))</f>
        <v>90.984844480000007</v>
      </c>
      <c r="BB5">
        <f ca="1">IF(AND(ISNUMBER($BB$35),$B$29=1),$BB$35,HLOOKUP(INDIRECT(ADDRESS(2,COLUMN())),OFFSET($BN$2,0,0,ROW()-1,60),ROW()-1,FALSE))</f>
        <v>90.844650619999996</v>
      </c>
      <c r="BC5">
        <f ca="1">IF(AND(ISNUMBER($BC$35),$B$29=1),$BC$35,HLOOKUP(INDIRECT(ADDRESS(2,COLUMN())),OFFSET($BN$2,0,0,ROW()-1,60),ROW()-1,FALSE))</f>
        <v>90.329008680000001</v>
      </c>
      <c r="BD5">
        <f ca="1">IF(AND(ISNUMBER($BD$35),$B$29=1),$BD$35,HLOOKUP(INDIRECT(ADDRESS(2,COLUMN())),OFFSET($BN$2,0,0,ROW()-1,60),ROW()-1,FALSE))</f>
        <v>89.803835280000001</v>
      </c>
      <c r="BE5">
        <f ca="1">IF(AND(ISNUMBER($BE$35),$B$29=1),$BE$35,HLOOKUP(INDIRECT(ADDRESS(2,COLUMN())),OFFSET($BN$2,0,0,ROW()-1,60),ROW()-1,FALSE))</f>
        <v>90.110291770000003</v>
      </c>
      <c r="BF5">
        <f ca="1">IF(AND(ISNUMBER($BF$35),$B$29=1),$BF$35,HLOOKUP(INDIRECT(ADDRESS(2,COLUMN())),OFFSET($BN$2,0,0,ROW()-1,60),ROW()-1,FALSE))</f>
        <v>90.412511420000001</v>
      </c>
      <c r="BG5">
        <f ca="1">IF(AND(ISNUMBER($BG$35),$B$29=1),$BG$35,HLOOKUP(INDIRECT(ADDRESS(2,COLUMN())),OFFSET($BN$2,0,0,ROW()-1,60),ROW()-1,FALSE))</f>
        <v>90.309410850000006</v>
      </c>
      <c r="BH5">
        <f ca="1">IF(AND(ISNUMBER($BH$35),$B$29=1),$BH$35,HLOOKUP(INDIRECT(ADDRESS(2,COLUMN())),OFFSET($BN$2,0,0,ROW()-1,60),ROW()-1,FALSE))</f>
        <v>90.261910490000005</v>
      </c>
      <c r="BI5">
        <f ca="1">IF(AND(ISNUMBER($BI$35),$B$29=1),$BI$35,HLOOKUP(INDIRECT(ADDRESS(2,COLUMN())),OFFSET($BN$2,0,0,ROW()-1,60),ROW()-1,FALSE))</f>
        <v>89.715663390000003</v>
      </c>
      <c r="BJ5">
        <f ca="1">IF(AND(ISNUMBER($BJ$35),$B$29=1),$BJ$35,HLOOKUP(INDIRECT(ADDRESS(2,COLUMN())),OFFSET($BN$2,0,0,ROW()-1,60),ROW()-1,FALSE))</f>
        <v>90.596995849999999</v>
      </c>
      <c r="BK5">
        <f ca="1">IF(AND(ISNUMBER($BK$35),$B$29=1),$BK$35,HLOOKUP(INDIRECT(ADDRESS(2,COLUMN())),OFFSET($BN$2,0,0,ROW()-1,60),ROW()-1,FALSE))</f>
        <v>89.717458629999996</v>
      </c>
      <c r="BL5">
        <f ca="1">IF(AND(ISNUMBER($BL$35),$B$29=1),$BL$35,HLOOKUP(INDIRECT(ADDRESS(2,COLUMN())),OFFSET($BN$2,0,0,ROW()-1,60),ROW()-1,FALSE))</f>
        <v>90.290558009999998</v>
      </c>
      <c r="BM5">
        <f ca="1">IF(AND(ISNUMBER($BM$35),$B$29=1),$BM$35,HLOOKUP(INDIRECT(ADDRESS(2,COLUMN())),OFFSET($BN$2,0,0,ROW()-1,60),ROW()-1,FALSE))</f>
        <v>90.923698439999995</v>
      </c>
      <c r="BN5">
        <f>91.85548404</f>
        <v>91.855484039999993</v>
      </c>
      <c r="BO5">
        <f>91.34443873</f>
        <v>91.344438729999993</v>
      </c>
      <c r="BP5">
        <f>91.18647013</f>
        <v>91.186470130000004</v>
      </c>
      <c r="BQ5">
        <f>90.98047983</f>
        <v>90.980479829999993</v>
      </c>
      <c r="BR5">
        <f>91.92930702</f>
        <v>91.929307019999996</v>
      </c>
      <c r="BS5">
        <f>91.13849646</f>
        <v>91.138496459999999</v>
      </c>
      <c r="BT5">
        <f>91.21413657</f>
        <v>91.214136569999994</v>
      </c>
      <c r="BU5">
        <f>92.02969621</f>
        <v>92.029696209999997</v>
      </c>
      <c r="BV5">
        <f>91.6854727</f>
        <v>91.685472700000005</v>
      </c>
      <c r="BW5">
        <f>91.27555927</f>
        <v>91.275559270000002</v>
      </c>
      <c r="BX5">
        <f>91.39977089</f>
        <v>91.399770889999999</v>
      </c>
      <c r="BY5">
        <f>90.66364513</f>
        <v>90.663645130000006</v>
      </c>
      <c r="BZ5">
        <f>90.68620992</f>
        <v>90.686209919999996</v>
      </c>
      <c r="CA5">
        <f>90.55440365</f>
        <v>90.554403649999998</v>
      </c>
      <c r="CB5">
        <f>90.77908021</f>
        <v>90.779080210000004</v>
      </c>
      <c r="CC5">
        <f>90.84609191</f>
        <v>90.846091909999998</v>
      </c>
      <c r="CD5">
        <f>91.17608605</f>
        <v>91.176086049999995</v>
      </c>
      <c r="CE5">
        <f>91.00214832</f>
        <v>91.002148320000003</v>
      </c>
      <c r="CF5">
        <f>90.33148806</f>
        <v>90.331488059999998</v>
      </c>
      <c r="CG5">
        <f>89.67829752</f>
        <v>89.678297520000001</v>
      </c>
      <c r="CH5">
        <f>89.82914096</f>
        <v>89.829140960000004</v>
      </c>
      <c r="CI5">
        <f>88.74126907</f>
        <v>88.741269070000001</v>
      </c>
      <c r="CJ5">
        <f>88.95819865</f>
        <v>88.95819865</v>
      </c>
      <c r="CK5">
        <f>88.93188479</f>
        <v>88.931884789999998</v>
      </c>
      <c r="CL5">
        <f>88.65847897</f>
        <v>88.658478970000004</v>
      </c>
      <c r="CM5">
        <f>88.38314667</f>
        <v>88.383146670000002</v>
      </c>
      <c r="CN5">
        <f>88.59561612</f>
        <v>88.595616120000003</v>
      </c>
      <c r="CO5">
        <f>88.01900261</f>
        <v>88.019002610000001</v>
      </c>
      <c r="CP5">
        <f>88.67538176</f>
        <v>88.675381759999993</v>
      </c>
      <c r="CQ5">
        <f>87.91803962</f>
        <v>87.918039620000002</v>
      </c>
      <c r="CR5">
        <f>87.97555341</f>
        <v>87.975553410000003</v>
      </c>
      <c r="CS5">
        <f>87.83919257</f>
        <v>87.839192569999994</v>
      </c>
      <c r="CT5">
        <f>88.73235281</f>
        <v>88.732352809999995</v>
      </c>
      <c r="CU5">
        <f>88.71270332</f>
        <v>88.712703320000003</v>
      </c>
      <c r="CV5">
        <f>89.13343905</f>
        <v>89.133439050000007</v>
      </c>
      <c r="CW5">
        <f>90.03858247</f>
        <v>90.038582469999994</v>
      </c>
      <c r="CX5">
        <f>90.768097</f>
        <v>90.768096999999997</v>
      </c>
      <c r="CY5">
        <f>91.28540046</f>
        <v>91.285400460000005</v>
      </c>
      <c r="CZ5">
        <f>91.41672899</f>
        <v>91.416728989999996</v>
      </c>
      <c r="DA5">
        <f>91.49721028</f>
        <v>91.497210280000004</v>
      </c>
      <c r="DB5">
        <f>91.8546796</f>
        <v>91.854679599999997</v>
      </c>
      <c r="DC5">
        <f>91.4121506</f>
        <v>91.412150600000004</v>
      </c>
      <c r="DD5">
        <f>91.10582562</f>
        <v>91.105825620000005</v>
      </c>
      <c r="DE5">
        <f>91.11459223</f>
        <v>91.11459223</v>
      </c>
      <c r="DF5">
        <f>91.71970609</f>
        <v>91.719706090000003</v>
      </c>
      <c r="DG5">
        <f>91.43366099</f>
        <v>91.433660990000007</v>
      </c>
      <c r="DH5">
        <f>90.90915517</f>
        <v>90.909155170000005</v>
      </c>
      <c r="DI5">
        <f>90.98484448</f>
        <v>90.984844480000007</v>
      </c>
      <c r="DJ5">
        <f>90.84465062</f>
        <v>90.844650619999996</v>
      </c>
      <c r="DK5">
        <f>90.32900868</f>
        <v>90.329008680000001</v>
      </c>
      <c r="DL5">
        <f>89.80383528</f>
        <v>89.803835280000001</v>
      </c>
      <c r="DM5">
        <f>90.11029177</f>
        <v>90.110291770000003</v>
      </c>
      <c r="DN5">
        <f>90.41251142</f>
        <v>90.412511420000001</v>
      </c>
      <c r="DO5">
        <f>90.30941085</f>
        <v>90.309410850000006</v>
      </c>
      <c r="DP5">
        <f>90.26191049</f>
        <v>90.261910490000005</v>
      </c>
      <c r="DQ5">
        <f>89.71566339</f>
        <v>89.715663390000003</v>
      </c>
      <c r="DR5">
        <f>90.59699585</f>
        <v>90.596995849999999</v>
      </c>
      <c r="DS5">
        <f>89.71745863</f>
        <v>89.717458629999996</v>
      </c>
      <c r="DT5">
        <f>90.29055801</f>
        <v>90.290558009999998</v>
      </c>
      <c r="DU5">
        <f>90.92369844</f>
        <v>90.923698439999995</v>
      </c>
    </row>
    <row r="6" spans="1:125">
      <c r="A6" t="str">
        <f>"    办公楼房地产投资信托总营运现金流"</f>
        <v xml:space="preserve">    办公楼房地产投资信托总营运现金流</v>
      </c>
      <c r="B6" t="str">
        <f>"RECFFOOF Index"</f>
        <v>RECFFOOF Index</v>
      </c>
      <c r="C6" t="str">
        <f>"PR005"</f>
        <v>PR005</v>
      </c>
      <c r="D6" t="str">
        <f>"PX_LAST"</f>
        <v>PX_LAST</v>
      </c>
      <c r="E6" t="str">
        <f>"动态"</f>
        <v>动态</v>
      </c>
      <c r="F6">
        <f ca="1">IF(AND(ISNUMBER($F$36),$B$29=1),$F$36,HLOOKUP(INDIRECT(ADDRESS(2,COLUMN())),OFFSET($BN$2,0,0,ROW()-1,60),ROW()-1,FALSE))</f>
        <v>1541.311095</v>
      </c>
      <c r="G6">
        <f ca="1">IF(AND(ISNUMBER($G$36),$B$29=1),$G$36,HLOOKUP(INDIRECT(ADDRESS(2,COLUMN())),OFFSET($BN$2,0,0,ROW()-1,60),ROW()-1,FALSE))</f>
        <v>1573.8009999999999</v>
      </c>
      <c r="H6">
        <f ca="1">IF(AND(ISNUMBER($H$36),$B$29=1),$H$36,HLOOKUP(INDIRECT(ADDRESS(2,COLUMN())),OFFSET($BN$2,0,0,ROW()-1,60),ROW()-1,FALSE))</f>
        <v>1686.088</v>
      </c>
      <c r="I6">
        <f ca="1">IF(AND(ISNUMBER($I$36),$B$29=1),$I$36,HLOOKUP(INDIRECT(ADDRESS(2,COLUMN())),OFFSET($BN$2,0,0,ROW()-1,60),ROW()-1,FALSE))</f>
        <v>1568.1559999999999</v>
      </c>
      <c r="J6">
        <f ca="1">IF(AND(ISNUMBER($J$36),$B$29=1),$J$36,HLOOKUP(INDIRECT(ADDRESS(2,COLUMN())),OFFSET($BN$2,0,0,ROW()-1,60),ROW()-1,FALSE))</f>
        <v>1461.4069999999999</v>
      </c>
      <c r="K6">
        <f ca="1">IF(AND(ISNUMBER($K$36),$B$29=1),$K$36,HLOOKUP(INDIRECT(ADDRESS(2,COLUMN())),OFFSET($BN$2,0,0,ROW()-1,60),ROW()-1,FALSE))</f>
        <v>1495.355</v>
      </c>
      <c r="L6">
        <f ca="1">IF(AND(ISNUMBER($L$36),$B$29=1),$L$36,HLOOKUP(INDIRECT(ADDRESS(2,COLUMN())),OFFSET($BN$2,0,0,ROW()-1,60),ROW()-1,FALSE))</f>
        <v>1777.163</v>
      </c>
      <c r="M6">
        <f ca="1">IF(AND(ISNUMBER($M$36),$B$29=1),$M$36,HLOOKUP(INDIRECT(ADDRESS(2,COLUMN())),OFFSET($BN$2,0,0,ROW()-1,60),ROW()-1,FALSE))</f>
        <v>1547.393</v>
      </c>
      <c r="N6">
        <f ca="1">IF(AND(ISNUMBER($N$36),$B$29=1),$N$36,HLOOKUP(INDIRECT(ADDRESS(2,COLUMN())),OFFSET($BN$2,0,0,ROW()-1,60),ROW()-1,FALSE))</f>
        <v>1453.9179999999999</v>
      </c>
      <c r="O6">
        <f ca="1">IF(AND(ISNUMBER($O$36),$B$29=1),$O$36,HLOOKUP(INDIRECT(ADDRESS(2,COLUMN())),OFFSET($BN$2,0,0,ROW()-1,60),ROW()-1,FALSE))</f>
        <v>1784.2529999999999</v>
      </c>
      <c r="P6">
        <f ca="1">IF(AND(ISNUMBER($P$36),$B$29=1),$P$36,HLOOKUP(INDIRECT(ADDRESS(2,COLUMN())),OFFSET($BN$2,0,0,ROW()-1,60),ROW()-1,FALSE))</f>
        <v>1485.117</v>
      </c>
      <c r="Q6">
        <f ca="1">IF(AND(ISNUMBER($Q$36),$B$29=1),$Q$36,HLOOKUP(INDIRECT(ADDRESS(2,COLUMN())),OFFSET($BN$2,0,0,ROW()-1,60),ROW()-1,FALSE))</f>
        <v>1431.0630000000001</v>
      </c>
      <c r="R6">
        <f ca="1">IF(AND(ISNUMBER($R$36),$B$29=1),$R$36,HLOOKUP(INDIRECT(ADDRESS(2,COLUMN())),OFFSET($BN$2,0,0,ROW()-1,60),ROW()-1,FALSE))</f>
        <v>1392.463</v>
      </c>
      <c r="S6">
        <f ca="1">IF(AND(ISNUMBER($S$36),$B$29=1),$S$36,HLOOKUP(INDIRECT(ADDRESS(2,COLUMN())),OFFSET($BN$2,0,0,ROW()-1,60),ROW()-1,FALSE))</f>
        <v>1529.3630000000001</v>
      </c>
      <c r="T6">
        <f ca="1">IF(AND(ISNUMBER($T$36),$B$29=1),$T$36,HLOOKUP(INDIRECT(ADDRESS(2,COLUMN())),OFFSET($BN$2,0,0,ROW()-1,60),ROW()-1,FALSE))</f>
        <v>1332.5519999999999</v>
      </c>
      <c r="U6">
        <f ca="1">IF(AND(ISNUMBER($U$36),$B$29=1),$U$36,HLOOKUP(INDIRECT(ADDRESS(2,COLUMN())),OFFSET($BN$2,0,0,ROW()-1,60),ROW()-1,FALSE))</f>
        <v>1261.1969999999999</v>
      </c>
      <c r="V6">
        <f ca="1">IF(AND(ISNUMBER($V$36),$B$29=1),$V$36,HLOOKUP(INDIRECT(ADDRESS(2,COLUMN())),OFFSET($BN$2,0,0,ROW()-1,60),ROW()-1,FALSE))</f>
        <v>1453.8</v>
      </c>
      <c r="W6">
        <f ca="1">IF(AND(ISNUMBER($W$36),$B$29=1),$W$36,HLOOKUP(INDIRECT(ADDRESS(2,COLUMN())),OFFSET($BN$2,0,0,ROW()-1,60),ROW()-1,FALSE))</f>
        <v>1127.4069999999999</v>
      </c>
      <c r="X6">
        <f ca="1">IF(AND(ISNUMBER($X$36),$B$29=1),$X$36,HLOOKUP(INDIRECT(ADDRESS(2,COLUMN())),OFFSET($BN$2,0,0,ROW()-1,60),ROW()-1,FALSE))</f>
        <v>1110.8879999999999</v>
      </c>
      <c r="Y6">
        <f ca="1">IF(AND(ISNUMBER($Y$36),$B$29=1),$Y$36,HLOOKUP(INDIRECT(ADDRESS(2,COLUMN())),OFFSET($BN$2,0,0,ROW()-1,60),ROW()-1,FALSE))</f>
        <v>1024.7380000000001</v>
      </c>
      <c r="Z6">
        <f ca="1">IF(AND(ISNUMBER($Z$36),$B$29=1),$Z$36,HLOOKUP(INDIRECT(ADDRESS(2,COLUMN())),OFFSET($BN$2,0,0,ROW()-1,60),ROW()-1,FALSE))</f>
        <v>1077.865</v>
      </c>
      <c r="AA6">
        <f ca="1">IF(AND(ISNUMBER($AA$36),$B$29=1),$AA$36,HLOOKUP(INDIRECT(ADDRESS(2,COLUMN())),OFFSET($BN$2,0,0,ROW()-1,60),ROW()-1,FALSE))</f>
        <v>1059.337</v>
      </c>
      <c r="AB6">
        <f ca="1">IF(AND(ISNUMBER($AB$36),$B$29=1),$AB$36,HLOOKUP(INDIRECT(ADDRESS(2,COLUMN())),OFFSET($BN$2,0,0,ROW()-1,60),ROW()-1,FALSE))</f>
        <v>1131.4949999999999</v>
      </c>
      <c r="AC6">
        <f ca="1">IF(AND(ISNUMBER($AC$36),$B$29=1),$AC$36,HLOOKUP(INDIRECT(ADDRESS(2,COLUMN())),OFFSET($BN$2,0,0,ROW()-1,60),ROW()-1,FALSE))</f>
        <v>948.399</v>
      </c>
      <c r="AD6">
        <f ca="1">IF(AND(ISNUMBER($AD$36),$B$29=1),$AD$36,HLOOKUP(INDIRECT(ADDRESS(2,COLUMN())),OFFSET($BN$2,0,0,ROW()-1,60),ROW()-1,FALSE))</f>
        <v>865.76</v>
      </c>
      <c r="AE6">
        <f ca="1">IF(AND(ISNUMBER($AE$36),$B$29=1),$AE$36,HLOOKUP(INDIRECT(ADDRESS(2,COLUMN())),OFFSET($BN$2,0,0,ROW()-1,60),ROW()-1,FALSE))</f>
        <v>1007.294</v>
      </c>
      <c r="AF6">
        <f ca="1">IF(AND(ISNUMBER($AF$36),$B$29=1),$AF$36,HLOOKUP(INDIRECT(ADDRESS(2,COLUMN())),OFFSET($BN$2,0,0,ROW()-1,60),ROW()-1,FALSE))</f>
        <v>1003.9</v>
      </c>
      <c r="AG6">
        <f ca="1">IF(AND(ISNUMBER($AG$36),$B$29=1),$AG$36,HLOOKUP(INDIRECT(ADDRESS(2,COLUMN())),OFFSET($BN$2,0,0,ROW()-1,60),ROW()-1,FALSE))</f>
        <v>892.14599999999996</v>
      </c>
      <c r="AH6">
        <f ca="1">IF(AND(ISNUMBER($AH$36),$B$29=1),$AH$36,HLOOKUP(INDIRECT(ADDRESS(2,COLUMN())),OFFSET($BN$2,0,0,ROW()-1,60),ROW()-1,FALSE))</f>
        <v>803.524</v>
      </c>
      <c r="AI6">
        <f ca="1">IF(AND(ISNUMBER($AI$36),$B$29=1),$AI$36,HLOOKUP(INDIRECT(ADDRESS(2,COLUMN())),OFFSET($BN$2,0,0,ROW()-1,60),ROW()-1,FALSE))</f>
        <v>906.11300000000006</v>
      </c>
      <c r="AJ6">
        <f ca="1">IF(AND(ISNUMBER($AJ$36),$B$29=1),$AJ$36,HLOOKUP(INDIRECT(ADDRESS(2,COLUMN())),OFFSET($BN$2,0,0,ROW()-1,60),ROW()-1,FALSE))</f>
        <v>713.49599999999998</v>
      </c>
      <c r="AK6">
        <f ca="1">IF(AND(ISNUMBER($AK$36),$B$29=1),$AK$36,HLOOKUP(INDIRECT(ADDRESS(2,COLUMN())),OFFSET($BN$2,0,0,ROW()-1,60),ROW()-1,FALSE))</f>
        <v>865.596</v>
      </c>
      <c r="AL6">
        <f ca="1">IF(AND(ISNUMBER($AL$36),$B$29=1),$AL$36,HLOOKUP(INDIRECT(ADDRESS(2,COLUMN())),OFFSET($BN$2,0,0,ROW()-1,60),ROW()-1,FALSE))</f>
        <v>322.61500000000001</v>
      </c>
      <c r="AM6">
        <f ca="1">IF(AND(ISNUMBER($AM$36),$B$29=1),$AM$36,HLOOKUP(INDIRECT(ADDRESS(2,COLUMN())),OFFSET($BN$2,0,0,ROW()-1,60),ROW()-1,FALSE))</f>
        <v>769.83500000000004</v>
      </c>
      <c r="AN6">
        <f ca="1">IF(AND(ISNUMBER($AN$36),$B$29=1),$AN$36,HLOOKUP(INDIRECT(ADDRESS(2,COLUMN())),OFFSET($BN$2,0,0,ROW()-1,60),ROW()-1,FALSE))</f>
        <v>451.85500000000002</v>
      </c>
      <c r="AO6">
        <f ca="1">IF(AND(ISNUMBER($AO$36),$B$29=1),$AO$36,HLOOKUP(INDIRECT(ADDRESS(2,COLUMN())),OFFSET($BN$2,0,0,ROW()-1,60),ROW()-1,FALSE))</f>
        <v>736.95100000000002</v>
      </c>
      <c r="AP6">
        <f ca="1">IF(AND(ISNUMBER($AP$36),$B$29=1),$AP$36,HLOOKUP(INDIRECT(ADDRESS(2,COLUMN())),OFFSET($BN$2,0,0,ROW()-1,60),ROW()-1,FALSE))</f>
        <v>458.34199999999998</v>
      </c>
      <c r="AQ6">
        <f ca="1">IF(AND(ISNUMBER($AQ$36),$B$29=1),$AQ$36,HLOOKUP(INDIRECT(ADDRESS(2,COLUMN())),OFFSET($BN$2,0,0,ROW()-1,60),ROW()-1,FALSE))</f>
        <v>721.50099999999998</v>
      </c>
      <c r="AR6">
        <f ca="1">IF(AND(ISNUMBER($AR$36),$B$29=1),$AR$36,HLOOKUP(INDIRECT(ADDRESS(2,COLUMN())),OFFSET($BN$2,0,0,ROW()-1,60),ROW()-1,FALSE))</f>
        <v>707.32399999999996</v>
      </c>
      <c r="AS6">
        <f ca="1">IF(AND(ISNUMBER($AS$36),$B$29=1),$AS$36,HLOOKUP(INDIRECT(ADDRESS(2,COLUMN())),OFFSET($BN$2,0,0,ROW()-1,60),ROW()-1,FALSE))</f>
        <v>720.09500000000003</v>
      </c>
      <c r="AT6">
        <f ca="1">IF(AND(ISNUMBER($AT$36),$B$29=1),$AT$36,HLOOKUP(INDIRECT(ADDRESS(2,COLUMN())),OFFSET($BN$2,0,0,ROW()-1,60),ROW()-1,FALSE))</f>
        <v>736.63049999999998</v>
      </c>
      <c r="AU6">
        <f ca="1">IF(AND(ISNUMBER($AU$36),$B$29=1),$AU$36,HLOOKUP(INDIRECT(ADDRESS(2,COLUMN())),OFFSET($BN$2,0,0,ROW()-1,60),ROW()-1,FALSE))</f>
        <v>769.25800000000004</v>
      </c>
      <c r="AV6">
        <f ca="1">IF(AND(ISNUMBER($AV$36),$B$29=1),$AV$36,HLOOKUP(INDIRECT(ADDRESS(2,COLUMN())),OFFSET($BN$2,0,0,ROW()-1,60),ROW()-1,FALSE))</f>
        <v>731.25800000000004</v>
      </c>
      <c r="AW6">
        <f ca="1">IF(AND(ISNUMBER($AW$36),$B$29=1),$AW$36,HLOOKUP(INDIRECT(ADDRESS(2,COLUMN())),OFFSET($BN$2,0,0,ROW()-1,60),ROW()-1,FALSE))</f>
        <v>823.322</v>
      </c>
      <c r="AX6">
        <f ca="1">IF(AND(ISNUMBER($AX$36),$B$29=1),$AX$36,HLOOKUP(INDIRECT(ADDRESS(2,COLUMN())),OFFSET($BN$2,0,0,ROW()-1,60),ROW()-1,FALSE))</f>
        <v>847.678</v>
      </c>
      <c r="AY6">
        <f ca="1">IF(AND(ISNUMBER($AY$36),$B$29=1),$AY$36,HLOOKUP(INDIRECT(ADDRESS(2,COLUMN())),OFFSET($BN$2,0,0,ROW()-1,60),ROW()-1,FALSE))</f>
        <v>665.48500000000001</v>
      </c>
      <c r="AZ6">
        <f ca="1">IF(AND(ISNUMBER($AZ$36),$B$29=1),$AZ$36,HLOOKUP(INDIRECT(ADDRESS(2,COLUMN())),OFFSET($BN$2,0,0,ROW()-1,60),ROW()-1,FALSE))</f>
        <v>970.92700000000002</v>
      </c>
      <c r="BA6">
        <f ca="1">IF(AND(ISNUMBER($BA$36),$B$29=1),$BA$36,HLOOKUP(INDIRECT(ADDRESS(2,COLUMN())),OFFSET($BN$2,0,0,ROW()-1,60),ROW()-1,FALSE))</f>
        <v>1020.359</v>
      </c>
      <c r="BB6">
        <f ca="1">IF(AND(ISNUMBER($BB$36),$B$29=1),$BB$36,HLOOKUP(INDIRECT(ADDRESS(2,COLUMN())),OFFSET($BN$2,0,0,ROW()-1,60),ROW()-1,FALSE))</f>
        <v>877.21</v>
      </c>
      <c r="BC6">
        <f ca="1">IF(AND(ISNUMBER($BC$36),$B$29=1),$BC$36,HLOOKUP(INDIRECT(ADDRESS(2,COLUMN())),OFFSET($BN$2,0,0,ROW()-1,60),ROW()-1,FALSE))</f>
        <v>1034.904</v>
      </c>
      <c r="BD6">
        <f ca="1">IF(AND(ISNUMBER($BD$36),$B$29=1),$BD$36,HLOOKUP(INDIRECT(ADDRESS(2,COLUMN())),OFFSET($BN$2,0,0,ROW()-1,60),ROW()-1,FALSE))</f>
        <v>762.88699999999994</v>
      </c>
      <c r="BE6">
        <f ca="1">IF(AND(ISNUMBER($BE$36),$B$29=1),$BE$36,HLOOKUP(INDIRECT(ADDRESS(2,COLUMN())),OFFSET($BN$2,0,0,ROW()-1,60),ROW()-1,FALSE))</f>
        <v>1043.0889999999999</v>
      </c>
      <c r="BF6">
        <f ca="1">IF(AND(ISNUMBER($BF$36),$B$29=1),$BF$36,HLOOKUP(INDIRECT(ADDRESS(2,COLUMN())),OFFSET($BN$2,0,0,ROW()-1,60),ROW()-1,FALSE))</f>
        <v>1048.6415</v>
      </c>
      <c r="BG6">
        <f ca="1">IF(AND(ISNUMBER($BG$36),$B$29=1),$BG$36,HLOOKUP(INDIRECT(ADDRESS(2,COLUMN())),OFFSET($BN$2,0,0,ROW()-1,60),ROW()-1,FALSE))</f>
        <v>881.43399999999997</v>
      </c>
      <c r="BH6">
        <f ca="1">IF(AND(ISNUMBER($BH$36),$B$29=1),$BH$36,HLOOKUP(INDIRECT(ADDRESS(2,COLUMN())),OFFSET($BN$2,0,0,ROW()-1,60),ROW()-1,FALSE))</f>
        <v>897.46199999999999</v>
      </c>
      <c r="BI6">
        <f ca="1">IF(AND(ISNUMBER($BI$36),$B$29=1),$BI$36,HLOOKUP(INDIRECT(ADDRESS(2,COLUMN())),OFFSET($BN$2,0,0,ROW()-1,60),ROW()-1,FALSE))</f>
        <v>1040.8430000000001</v>
      </c>
      <c r="BJ6">
        <f ca="1">IF(AND(ISNUMBER($BJ$36),$B$29=1),$BJ$36,HLOOKUP(INDIRECT(ADDRESS(2,COLUMN())),OFFSET($BN$2,0,0,ROW()-1,60),ROW()-1,FALSE))</f>
        <v>1011.684</v>
      </c>
      <c r="BK6">
        <f ca="1">IF(AND(ISNUMBER($BK$36),$B$29=1),$BK$36,HLOOKUP(INDIRECT(ADDRESS(2,COLUMN())),OFFSET($BN$2,0,0,ROW()-1,60),ROW()-1,FALSE))</f>
        <v>1093.9780000000001</v>
      </c>
      <c r="BL6">
        <f ca="1">IF(AND(ISNUMBER($BL$36),$B$29=1),$BL$36,HLOOKUP(INDIRECT(ADDRESS(2,COLUMN())),OFFSET($BN$2,0,0,ROW()-1,60),ROW()-1,FALSE))</f>
        <v>1004.643</v>
      </c>
      <c r="BM6">
        <f ca="1">IF(AND(ISNUMBER($BM$36),$B$29=1),$BM$36,HLOOKUP(INDIRECT(ADDRESS(2,COLUMN())),OFFSET($BN$2,0,0,ROW()-1,60),ROW()-1,FALSE))</f>
        <v>1089.614</v>
      </c>
      <c r="BN6">
        <f>1541.311095</f>
        <v>1541.311095</v>
      </c>
      <c r="BO6">
        <f>1573.801</f>
        <v>1573.8009999999999</v>
      </c>
      <c r="BP6">
        <f>1686.088</f>
        <v>1686.088</v>
      </c>
      <c r="BQ6">
        <f>1568.156</f>
        <v>1568.1559999999999</v>
      </c>
      <c r="BR6">
        <f>1461.407</f>
        <v>1461.4069999999999</v>
      </c>
      <c r="BS6">
        <f>1495.355</f>
        <v>1495.355</v>
      </c>
      <c r="BT6">
        <f>1777.163</f>
        <v>1777.163</v>
      </c>
      <c r="BU6">
        <f>1547.393</f>
        <v>1547.393</v>
      </c>
      <c r="BV6">
        <f>1453.918</f>
        <v>1453.9179999999999</v>
      </c>
      <c r="BW6">
        <f>1784.253</f>
        <v>1784.2529999999999</v>
      </c>
      <c r="BX6">
        <f>1485.117</f>
        <v>1485.117</v>
      </c>
      <c r="BY6">
        <f>1431.063</f>
        <v>1431.0630000000001</v>
      </c>
      <c r="BZ6">
        <f>1392.463</f>
        <v>1392.463</v>
      </c>
      <c r="CA6">
        <f>1529.363</f>
        <v>1529.3630000000001</v>
      </c>
      <c r="CB6">
        <f>1332.552</f>
        <v>1332.5519999999999</v>
      </c>
      <c r="CC6">
        <f>1261.197</f>
        <v>1261.1969999999999</v>
      </c>
      <c r="CD6">
        <f>1453.8</f>
        <v>1453.8</v>
      </c>
      <c r="CE6">
        <f>1127.407</f>
        <v>1127.4069999999999</v>
      </c>
      <c r="CF6">
        <f>1110.888</f>
        <v>1110.8879999999999</v>
      </c>
      <c r="CG6">
        <f>1024.738</f>
        <v>1024.7380000000001</v>
      </c>
      <c r="CH6">
        <f>1077.865</f>
        <v>1077.865</v>
      </c>
      <c r="CI6">
        <f>1059.337</f>
        <v>1059.337</v>
      </c>
      <c r="CJ6">
        <f>1131.495</f>
        <v>1131.4949999999999</v>
      </c>
      <c r="CK6">
        <f>948.399</f>
        <v>948.399</v>
      </c>
      <c r="CL6">
        <f>865.76</f>
        <v>865.76</v>
      </c>
      <c r="CM6">
        <f>1007.294</f>
        <v>1007.294</v>
      </c>
      <c r="CN6">
        <f>1003.9</f>
        <v>1003.9</v>
      </c>
      <c r="CO6">
        <f>892.146</f>
        <v>892.14599999999996</v>
      </c>
      <c r="CP6">
        <f>803.524</f>
        <v>803.524</v>
      </c>
      <c r="CQ6">
        <f>906.113</f>
        <v>906.11300000000006</v>
      </c>
      <c r="CR6">
        <f>713.496</f>
        <v>713.49599999999998</v>
      </c>
      <c r="CS6">
        <f>865.596</f>
        <v>865.596</v>
      </c>
      <c r="CT6">
        <f>322.615</f>
        <v>322.61500000000001</v>
      </c>
      <c r="CU6">
        <f>769.835</f>
        <v>769.83500000000004</v>
      </c>
      <c r="CV6">
        <f>451.855</f>
        <v>451.85500000000002</v>
      </c>
      <c r="CW6">
        <f>736.951</f>
        <v>736.95100000000002</v>
      </c>
      <c r="CX6">
        <f>458.342</f>
        <v>458.34199999999998</v>
      </c>
      <c r="CY6">
        <f>721.501</f>
        <v>721.50099999999998</v>
      </c>
      <c r="CZ6">
        <f>707.324</f>
        <v>707.32399999999996</v>
      </c>
      <c r="DA6">
        <f>720.095</f>
        <v>720.09500000000003</v>
      </c>
      <c r="DB6">
        <f>736.6305</f>
        <v>736.63049999999998</v>
      </c>
      <c r="DC6">
        <f>769.258</f>
        <v>769.25800000000004</v>
      </c>
      <c r="DD6">
        <f>731.258</f>
        <v>731.25800000000004</v>
      </c>
      <c r="DE6">
        <f>823.322</f>
        <v>823.322</v>
      </c>
      <c r="DF6">
        <f>847.678</f>
        <v>847.678</v>
      </c>
      <c r="DG6">
        <f>665.485</f>
        <v>665.48500000000001</v>
      </c>
      <c r="DH6">
        <f>970.927</f>
        <v>970.92700000000002</v>
      </c>
      <c r="DI6">
        <f>1020.359</f>
        <v>1020.359</v>
      </c>
      <c r="DJ6">
        <f>877.21</f>
        <v>877.21</v>
      </c>
      <c r="DK6">
        <f>1034.904</f>
        <v>1034.904</v>
      </c>
      <c r="DL6">
        <f>762.887</f>
        <v>762.88699999999994</v>
      </c>
      <c r="DM6">
        <f>1043.089</f>
        <v>1043.0889999999999</v>
      </c>
      <c r="DN6">
        <f>1048.6415</f>
        <v>1048.6415</v>
      </c>
      <c r="DO6">
        <f>881.434</f>
        <v>881.43399999999997</v>
      </c>
      <c r="DP6">
        <f>897.462</f>
        <v>897.46199999999999</v>
      </c>
      <c r="DQ6">
        <f>1040.843</f>
        <v>1040.8430000000001</v>
      </c>
      <c r="DR6">
        <f>1011.684</f>
        <v>1011.684</v>
      </c>
      <c r="DS6">
        <f>1093.978</f>
        <v>1093.9780000000001</v>
      </c>
      <c r="DT6">
        <f>1004.643</f>
        <v>1004.643</v>
      </c>
      <c r="DU6">
        <f>1089.614</f>
        <v>1089.614</v>
      </c>
    </row>
    <row r="7" spans="1:125">
      <c r="A7" t="str">
        <f>"    办公楼房地产投资信托净营业利润"</f>
        <v xml:space="preserve">    办公楼房地产投资信托净营业利润</v>
      </c>
      <c r="B7" t="str">
        <f>"RECFNOOF Index"</f>
        <v>RECFNOOF Index</v>
      </c>
      <c r="C7" t="str">
        <f>"PR005"</f>
        <v>PR005</v>
      </c>
      <c r="D7" t="str">
        <f>"PX_LAST"</f>
        <v>PX_LAST</v>
      </c>
      <c r="E7" t="str">
        <f>"动态"</f>
        <v>动态</v>
      </c>
      <c r="F7">
        <f ca="1">IF(AND(ISNUMBER($F$37),$B$29=1),$F$37,HLOOKUP(INDIRECT(ADDRESS(2,COLUMN())),OFFSET($BN$2,0,0,ROW()-1,60),ROW()-1,FALSE))</f>
        <v>2265.1098149999998</v>
      </c>
      <c r="G7">
        <f ca="1">IF(AND(ISNUMBER($G$37),$B$29=1),$G$37,HLOOKUP(INDIRECT(ADDRESS(2,COLUMN())),OFFSET($BN$2,0,0,ROW()-1,60),ROW()-1,FALSE))</f>
        <v>2263.0129999999999</v>
      </c>
      <c r="H7">
        <f ca="1">IF(AND(ISNUMBER($H$37),$B$29=1),$H$37,HLOOKUP(INDIRECT(ADDRESS(2,COLUMN())),OFFSET($BN$2,0,0,ROW()-1,60),ROW()-1,FALSE))</f>
        <v>2360.5140000000001</v>
      </c>
      <c r="I7">
        <f ca="1">IF(AND(ISNUMBER($I$37),$B$29=1),$I$37,HLOOKUP(INDIRECT(ADDRESS(2,COLUMN())),OFFSET($BN$2,0,0,ROW()-1,60),ROW()-1,FALSE))</f>
        <v>2315.9119999999998</v>
      </c>
      <c r="J7">
        <f ca="1">IF(AND(ISNUMBER($J$37),$B$29=1),$J$37,HLOOKUP(INDIRECT(ADDRESS(2,COLUMN())),OFFSET($BN$2,0,0,ROW()-1,60),ROW()-1,FALSE))</f>
        <v>2273.4609999999998</v>
      </c>
      <c r="K7">
        <f ca="1">IF(AND(ISNUMBER($K$37),$B$29=1),$K$37,HLOOKUP(INDIRECT(ADDRESS(2,COLUMN())),OFFSET($BN$2,0,0,ROW()-1,60),ROW()-1,FALSE))</f>
        <v>2213.7199999999998</v>
      </c>
      <c r="L7">
        <f ca="1">IF(AND(ISNUMBER($L$37),$B$29=1),$L$37,HLOOKUP(INDIRECT(ADDRESS(2,COLUMN())),OFFSET($BN$2,0,0,ROW()-1,60),ROW()-1,FALSE))</f>
        <v>2458.768</v>
      </c>
      <c r="M7">
        <f ca="1">IF(AND(ISNUMBER($M$37),$B$29=1),$M$37,HLOOKUP(INDIRECT(ADDRESS(2,COLUMN())),OFFSET($BN$2,0,0,ROW()-1,60),ROW()-1,FALSE))</f>
        <v>2436.2310000000002</v>
      </c>
      <c r="N7">
        <f ca="1">IF(AND(ISNUMBER($N$37),$B$29=1),$N$37,HLOOKUP(INDIRECT(ADDRESS(2,COLUMN())),OFFSET($BN$2,0,0,ROW()-1,60),ROW()-1,FALSE))</f>
        <v>2294.8629999999998</v>
      </c>
      <c r="O7">
        <f ca="1">IF(AND(ISNUMBER($O$37),$B$29=1),$O$37,HLOOKUP(INDIRECT(ADDRESS(2,COLUMN())),OFFSET($BN$2,0,0,ROW()-1,60),ROW()-1,FALSE))</f>
        <v>2453.8789999999999</v>
      </c>
      <c r="P7">
        <f ca="1">IF(AND(ISNUMBER($P$37),$B$29=1),$P$37,HLOOKUP(INDIRECT(ADDRESS(2,COLUMN())),OFFSET($BN$2,0,0,ROW()-1,60),ROW()-1,FALSE))</f>
        <v>2424.4850000000001</v>
      </c>
      <c r="Q7">
        <f ca="1">IF(AND(ISNUMBER($Q$37),$B$29=1),$Q$37,HLOOKUP(INDIRECT(ADDRESS(2,COLUMN())),OFFSET($BN$2,0,0,ROW()-1,60),ROW()-1,FALSE))</f>
        <v>2154.7550000000001</v>
      </c>
      <c r="R7">
        <f ca="1">IF(AND(ISNUMBER($R$37),$B$29=1),$R$37,HLOOKUP(INDIRECT(ADDRESS(2,COLUMN())),OFFSET($BN$2,0,0,ROW()-1,60),ROW()-1,FALSE))</f>
        <v>2101.2809999999999</v>
      </c>
      <c r="S7">
        <f ca="1">IF(AND(ISNUMBER($S$37),$B$29=1),$S$37,HLOOKUP(INDIRECT(ADDRESS(2,COLUMN())),OFFSET($BN$2,0,0,ROW()-1,60),ROW()-1,FALSE))</f>
        <v>2036.7439999999999</v>
      </c>
      <c r="T7">
        <f ca="1">IF(AND(ISNUMBER($T$37),$B$29=1),$T$37,HLOOKUP(INDIRECT(ADDRESS(2,COLUMN())),OFFSET($BN$2,0,0,ROW()-1,60),ROW()-1,FALSE))</f>
        <v>2001.278</v>
      </c>
      <c r="U7">
        <f ca="1">IF(AND(ISNUMBER($U$37),$B$29=1),$U$37,HLOOKUP(INDIRECT(ADDRESS(2,COLUMN())),OFFSET($BN$2,0,0,ROW()-1,60),ROW()-1,FALSE))</f>
        <v>1888.8</v>
      </c>
      <c r="V7">
        <f ca="1">IF(AND(ISNUMBER($V$37),$B$29=1),$V$37,HLOOKUP(INDIRECT(ADDRESS(2,COLUMN())),OFFSET($BN$2,0,0,ROW()-1,60),ROW()-1,FALSE))</f>
        <v>1822.3209999999999</v>
      </c>
      <c r="W7">
        <f ca="1">IF(AND(ISNUMBER($W$37),$B$29=1),$W$37,HLOOKUP(INDIRECT(ADDRESS(2,COLUMN())),OFFSET($BN$2,0,0,ROW()-1,60),ROW()-1,FALSE))</f>
        <v>1696.683</v>
      </c>
      <c r="X7">
        <f ca="1">IF(AND(ISNUMBER($X$37),$B$29=1),$X$37,HLOOKUP(INDIRECT(ADDRESS(2,COLUMN())),OFFSET($BN$2,0,0,ROW()-1,60),ROW()-1,FALSE))</f>
        <v>1749.3979999999999</v>
      </c>
      <c r="Y7">
        <f ca="1">IF(AND(ISNUMBER($Y$37),$B$29=1),$Y$37,HLOOKUP(INDIRECT(ADDRESS(2,COLUMN())),OFFSET($BN$2,0,0,ROW()-1,60),ROW()-1,FALSE))</f>
        <v>1652.511</v>
      </c>
      <c r="Z7">
        <f ca="1">IF(AND(ISNUMBER($Z$37),$B$29=1),$Z$37,HLOOKUP(INDIRECT(ADDRESS(2,COLUMN())),OFFSET($BN$2,0,0,ROW()-1,60),ROW()-1,FALSE))</f>
        <v>1618.3589999999999</v>
      </c>
      <c r="AA7">
        <f ca="1">IF(AND(ISNUMBER($AA$37),$B$29=1),$AA$37,HLOOKUP(INDIRECT(ADDRESS(2,COLUMN())),OFFSET($BN$2,0,0,ROW()-1,60),ROW()-1,FALSE))</f>
        <v>1617.3130000000001</v>
      </c>
      <c r="AB7">
        <f ca="1">IF(AND(ISNUMBER($AB$37),$B$29=1),$AB$37,HLOOKUP(INDIRECT(ADDRESS(2,COLUMN())),OFFSET($BN$2,0,0,ROW()-1,60),ROW()-1,FALSE))</f>
        <v>1616.0139999999999</v>
      </c>
      <c r="AC7">
        <f ca="1">IF(AND(ISNUMBER($AC$37),$B$29=1),$AC$37,HLOOKUP(INDIRECT(ADDRESS(2,COLUMN())),OFFSET($BN$2,0,0,ROW()-1,60),ROW()-1,FALSE))</f>
        <v>1542.748</v>
      </c>
      <c r="AD7">
        <f ca="1">IF(AND(ISNUMBER($AD$37),$B$29=1),$AD$37,HLOOKUP(INDIRECT(ADDRESS(2,COLUMN())),OFFSET($BN$2,0,0,ROW()-1,60),ROW()-1,FALSE))</f>
        <v>1522.9449999999999</v>
      </c>
      <c r="AE7">
        <f ca="1">IF(AND(ISNUMBER($AE$37),$B$29=1),$AE$37,HLOOKUP(INDIRECT(ADDRESS(2,COLUMN())),OFFSET($BN$2,0,0,ROW()-1,60),ROW()-1,FALSE))</f>
        <v>1525.596</v>
      </c>
      <c r="AF7">
        <f ca="1">IF(AND(ISNUMBER($AF$37),$B$29=1),$AF$37,HLOOKUP(INDIRECT(ADDRESS(2,COLUMN())),OFFSET($BN$2,0,0,ROW()-1,60),ROW()-1,FALSE))</f>
        <v>1525.0029999999999</v>
      </c>
      <c r="AG7">
        <f ca="1">IF(AND(ISNUMBER($AG$37),$B$29=1),$AG$37,HLOOKUP(INDIRECT(ADDRESS(2,COLUMN())),OFFSET($BN$2,0,0,ROW()-1,60),ROW()-1,FALSE))</f>
        <v>1479.1669999999999</v>
      </c>
      <c r="AH7">
        <f ca="1">IF(AND(ISNUMBER($AH$37),$B$29=1),$AH$37,HLOOKUP(INDIRECT(ADDRESS(2,COLUMN())),OFFSET($BN$2,0,0,ROW()-1,60),ROW()-1,FALSE))</f>
        <v>1431.18</v>
      </c>
      <c r="AI7">
        <f ca="1">IF(AND(ISNUMBER($AI$37),$B$29=1),$AI$37,HLOOKUP(INDIRECT(ADDRESS(2,COLUMN())),OFFSET($BN$2,0,0,ROW()-1,60),ROW()-1,FALSE))</f>
        <v>1401.5060000000001</v>
      </c>
      <c r="AJ7">
        <f ca="1">IF(AND(ISNUMBER($AJ$37),$B$29=1),$AJ$37,HLOOKUP(INDIRECT(ADDRESS(2,COLUMN())),OFFSET($BN$2,0,0,ROW()-1,60),ROW()-1,FALSE))</f>
        <v>1385.6510000000001</v>
      </c>
      <c r="AK7">
        <f ca="1">IF(AND(ISNUMBER($AK$37),$B$29=1),$AK$37,HLOOKUP(INDIRECT(ADDRESS(2,COLUMN())),OFFSET($BN$2,0,0,ROW()-1,60),ROW()-1,FALSE))</f>
        <v>1374.548</v>
      </c>
      <c r="AL7">
        <f ca="1">IF(AND(ISNUMBER($AL$37),$B$29=1),$AL$37,HLOOKUP(INDIRECT(ADDRESS(2,COLUMN())),OFFSET($BN$2,0,0,ROW()-1,60),ROW()-1,FALSE))</f>
        <v>1275.731</v>
      </c>
      <c r="AM7">
        <f ca="1">IF(AND(ISNUMBER($AM$37),$B$29=1),$AM$37,HLOOKUP(INDIRECT(ADDRESS(2,COLUMN())),OFFSET($BN$2,0,0,ROW()-1,60),ROW()-1,FALSE))</f>
        <v>1273.7260000000001</v>
      </c>
      <c r="AN7">
        <f ca="1">IF(AND(ISNUMBER($AN$37),$B$29=1),$AN$37,HLOOKUP(INDIRECT(ADDRESS(2,COLUMN())),OFFSET($BN$2,0,0,ROW()-1,60),ROW()-1,FALSE))</f>
        <v>1313.2719999999999</v>
      </c>
      <c r="AO7">
        <f ca="1">IF(AND(ISNUMBER($AO$37),$B$29=1),$AO$37,HLOOKUP(INDIRECT(ADDRESS(2,COLUMN())),OFFSET($BN$2,0,0,ROW()-1,60),ROW()-1,FALSE))</f>
        <v>1303.9010000000001</v>
      </c>
      <c r="AP7">
        <f ca="1">IF(AND(ISNUMBER($AP$37),$B$29=1),$AP$37,HLOOKUP(INDIRECT(ADDRESS(2,COLUMN())),OFFSET($BN$2,0,0,ROW()-1,60),ROW()-1,FALSE))</f>
        <v>1314.9614999999999</v>
      </c>
      <c r="AQ7">
        <f ca="1">IF(AND(ISNUMBER($AQ$37),$B$29=1),$AQ$37,HLOOKUP(INDIRECT(ADDRESS(2,COLUMN())),OFFSET($BN$2,0,0,ROW()-1,60),ROW()-1,FALSE))</f>
        <v>1265.635</v>
      </c>
      <c r="AR7">
        <f ca="1">IF(AND(ISNUMBER($AR$37),$B$29=1),$AR$37,HLOOKUP(INDIRECT(ADDRESS(2,COLUMN())),OFFSET($BN$2,0,0,ROW()-1,60),ROW()-1,FALSE))</f>
        <v>1257.402</v>
      </c>
      <c r="AS7">
        <f ca="1">IF(AND(ISNUMBER($AS$37),$B$29=1),$AS$37,HLOOKUP(INDIRECT(ADDRESS(2,COLUMN())),OFFSET($BN$2,0,0,ROW()-1,60),ROW()-1,FALSE))</f>
        <v>1246.0229999999999</v>
      </c>
      <c r="AT7">
        <f ca="1">IF(AND(ISNUMBER($AT$37),$B$29=1),$AT$37,HLOOKUP(INDIRECT(ADDRESS(2,COLUMN())),OFFSET($BN$2,0,0,ROW()-1,60),ROW()-1,FALSE))</f>
        <v>1168.384</v>
      </c>
      <c r="AU7">
        <f ca="1">IF(AND(ISNUMBER($AU$37),$B$29=1),$AU$37,HLOOKUP(INDIRECT(ADDRESS(2,COLUMN())),OFFSET($BN$2,0,0,ROW()-1,60),ROW()-1,FALSE))</f>
        <v>1329.883</v>
      </c>
      <c r="AV7">
        <f ca="1">IF(AND(ISNUMBER($AV$37),$B$29=1),$AV$37,HLOOKUP(INDIRECT(ADDRESS(2,COLUMN())),OFFSET($BN$2,0,0,ROW()-1,60),ROW()-1,FALSE))</f>
        <v>1265.251</v>
      </c>
      <c r="AW7">
        <f ca="1">IF(AND(ISNUMBER($AW$37),$B$29=1),$AW$37,HLOOKUP(INDIRECT(ADDRESS(2,COLUMN())),OFFSET($BN$2,0,0,ROW()-1,60),ROW()-1,FALSE))</f>
        <v>1262.317</v>
      </c>
      <c r="AX7">
        <f ca="1">IF(AND(ISNUMBER($AX$37),$B$29=1),$AX$37,HLOOKUP(INDIRECT(ADDRESS(2,COLUMN())),OFFSET($BN$2,0,0,ROW()-1,60),ROW()-1,FALSE))</f>
        <v>1766.2460000000001</v>
      </c>
      <c r="AY7">
        <f ca="1">IF(AND(ISNUMBER($AY$37),$B$29=1),$AY$37,HLOOKUP(INDIRECT(ADDRESS(2,COLUMN())),OFFSET($BN$2,0,0,ROW()-1,60),ROW()-1,FALSE))</f>
        <v>1704.357</v>
      </c>
      <c r="AZ7">
        <f ca="1">IF(AND(ISNUMBER($AZ$37),$B$29=1),$AZ$37,HLOOKUP(INDIRECT(ADDRESS(2,COLUMN())),OFFSET($BN$2,0,0,ROW()-1,60),ROW()-1,FALSE))</f>
        <v>1841.501</v>
      </c>
      <c r="BA7">
        <f ca="1">IF(AND(ISNUMBER($BA$37),$B$29=1),$BA$37,HLOOKUP(INDIRECT(ADDRESS(2,COLUMN())),OFFSET($BN$2,0,0,ROW()-1,60),ROW()-1,FALSE))</f>
        <v>1860.923</v>
      </c>
      <c r="BB7">
        <f ca="1">IF(AND(ISNUMBER($BB$37),$B$29=1),$BB$37,HLOOKUP(INDIRECT(ADDRESS(2,COLUMN())),OFFSET($BN$2,0,0,ROW()-1,60),ROW()-1,FALSE))</f>
        <v>1841.078</v>
      </c>
      <c r="BC7">
        <f ca="1">IF(AND(ISNUMBER($BC$37),$B$29=1),$BC$37,HLOOKUP(INDIRECT(ADDRESS(2,COLUMN())),OFFSET($BN$2,0,0,ROW()-1,60),ROW()-1,FALSE))</f>
        <v>1852.9280000000001</v>
      </c>
      <c r="BD7">
        <f ca="1">IF(AND(ISNUMBER($BD$37),$B$29=1),$BD$37,HLOOKUP(INDIRECT(ADDRESS(2,COLUMN())),OFFSET($BN$2,0,0,ROW()-1,60),ROW()-1,FALSE))</f>
        <v>1906.364</v>
      </c>
      <c r="BE7">
        <f ca="1">IF(AND(ISNUMBER($BE$37),$B$29=1),$BE$37,HLOOKUP(INDIRECT(ADDRESS(2,COLUMN())),OFFSET($BN$2,0,0,ROW()-1,60),ROW()-1,FALSE))</f>
        <v>1928.66</v>
      </c>
      <c r="BF7">
        <f ca="1">IF(AND(ISNUMBER($BF$37),$B$29=1),$BF$37,HLOOKUP(INDIRECT(ADDRESS(2,COLUMN())),OFFSET($BN$2,0,0,ROW()-1,60),ROW()-1,FALSE))</f>
        <v>1831.489</v>
      </c>
      <c r="BG7">
        <f ca="1">IF(AND(ISNUMBER($BG$37),$B$29=1),$BG$37,HLOOKUP(INDIRECT(ADDRESS(2,COLUMN())),OFFSET($BN$2,0,0,ROW()-1,60),ROW()-1,FALSE))</f>
        <v>1766.8520000000001</v>
      </c>
      <c r="BH7">
        <f ca="1">IF(AND(ISNUMBER($BH$37),$B$29=1),$BH$37,HLOOKUP(INDIRECT(ADDRESS(2,COLUMN())),OFFSET($BN$2,0,0,ROW()-1,60),ROW()-1,FALSE))</f>
        <v>1734.421</v>
      </c>
      <c r="BI7">
        <f ca="1">IF(AND(ISNUMBER($BI$37),$B$29=1),$BI$37,HLOOKUP(INDIRECT(ADDRESS(2,COLUMN())),OFFSET($BN$2,0,0,ROW()-1,60),ROW()-1,FALSE))</f>
        <v>1718.635</v>
      </c>
      <c r="BJ7">
        <f ca="1">IF(AND(ISNUMBER($BJ$37),$B$29=1),$BJ$37,HLOOKUP(INDIRECT(ADDRESS(2,COLUMN())),OFFSET($BN$2,0,0,ROW()-1,60),ROW()-1,FALSE))</f>
        <v>1751.98</v>
      </c>
      <c r="BK7">
        <f ca="1">IF(AND(ISNUMBER($BK$37),$B$29=1),$BK$37,HLOOKUP(INDIRECT(ADDRESS(2,COLUMN())),OFFSET($BN$2,0,0,ROW()-1,60),ROW()-1,FALSE))</f>
        <v>1731.5540000000001</v>
      </c>
      <c r="BL7">
        <f ca="1">IF(AND(ISNUMBER($BL$37),$B$29=1),$BL$37,HLOOKUP(INDIRECT(ADDRESS(2,COLUMN())),OFFSET($BN$2,0,0,ROW()-1,60),ROW()-1,FALSE))</f>
        <v>1690.29</v>
      </c>
      <c r="BM7">
        <f ca="1">IF(AND(ISNUMBER($BM$37),$B$29=1),$BM$37,HLOOKUP(INDIRECT(ADDRESS(2,COLUMN())),OFFSET($BN$2,0,0,ROW()-1,60),ROW()-1,FALSE))</f>
        <v>1685.8530000000001</v>
      </c>
      <c r="BN7">
        <f>2265.109815</f>
        <v>2265.1098149999998</v>
      </c>
      <c r="BO7">
        <f>2263.013</f>
        <v>2263.0129999999999</v>
      </c>
      <c r="BP7">
        <f>2360.514</f>
        <v>2360.5140000000001</v>
      </c>
      <c r="BQ7">
        <f>2315.912</f>
        <v>2315.9119999999998</v>
      </c>
      <c r="BR7">
        <f>2273.461</f>
        <v>2273.4609999999998</v>
      </c>
      <c r="BS7">
        <f>2213.72</f>
        <v>2213.7199999999998</v>
      </c>
      <c r="BT7">
        <f>2458.768</f>
        <v>2458.768</v>
      </c>
      <c r="BU7">
        <f>2436.231</f>
        <v>2436.2310000000002</v>
      </c>
      <c r="BV7">
        <f>2294.863</f>
        <v>2294.8629999999998</v>
      </c>
      <c r="BW7">
        <f>2453.879</f>
        <v>2453.8789999999999</v>
      </c>
      <c r="BX7">
        <f>2424.485</f>
        <v>2424.4850000000001</v>
      </c>
      <c r="BY7">
        <f>2154.755</f>
        <v>2154.7550000000001</v>
      </c>
      <c r="BZ7">
        <f>2101.281</f>
        <v>2101.2809999999999</v>
      </c>
      <c r="CA7">
        <f>2036.744</f>
        <v>2036.7439999999999</v>
      </c>
      <c r="CB7">
        <f>2001.278</f>
        <v>2001.278</v>
      </c>
      <c r="CC7">
        <f>1888.8</f>
        <v>1888.8</v>
      </c>
      <c r="CD7">
        <f>1822.321</f>
        <v>1822.3209999999999</v>
      </c>
      <c r="CE7">
        <f>1696.683</f>
        <v>1696.683</v>
      </c>
      <c r="CF7">
        <f>1749.398</f>
        <v>1749.3979999999999</v>
      </c>
      <c r="CG7">
        <f>1652.511</f>
        <v>1652.511</v>
      </c>
      <c r="CH7">
        <f>1618.359</f>
        <v>1618.3589999999999</v>
      </c>
      <c r="CI7">
        <f>1617.313</f>
        <v>1617.3130000000001</v>
      </c>
      <c r="CJ7">
        <f>1616.014</f>
        <v>1616.0139999999999</v>
      </c>
      <c r="CK7">
        <f>1542.748</f>
        <v>1542.748</v>
      </c>
      <c r="CL7">
        <f>1522.945</f>
        <v>1522.9449999999999</v>
      </c>
      <c r="CM7">
        <f>1525.596</f>
        <v>1525.596</v>
      </c>
      <c r="CN7">
        <f>1525.003</f>
        <v>1525.0029999999999</v>
      </c>
      <c r="CO7">
        <f>1479.167</f>
        <v>1479.1669999999999</v>
      </c>
      <c r="CP7">
        <f>1431.18</f>
        <v>1431.18</v>
      </c>
      <c r="CQ7">
        <f>1401.506</f>
        <v>1401.5060000000001</v>
      </c>
      <c r="CR7">
        <f>1385.651</f>
        <v>1385.6510000000001</v>
      </c>
      <c r="CS7">
        <f>1374.548</f>
        <v>1374.548</v>
      </c>
      <c r="CT7">
        <f>1275.731</f>
        <v>1275.731</v>
      </c>
      <c r="CU7">
        <f>1273.726</f>
        <v>1273.7260000000001</v>
      </c>
      <c r="CV7">
        <f>1313.272</f>
        <v>1313.2719999999999</v>
      </c>
      <c r="CW7">
        <f>1303.901</f>
        <v>1303.9010000000001</v>
      </c>
      <c r="CX7">
        <f>1314.9615</f>
        <v>1314.9614999999999</v>
      </c>
      <c r="CY7">
        <f>1265.635</f>
        <v>1265.635</v>
      </c>
      <c r="CZ7">
        <f>1257.402</f>
        <v>1257.402</v>
      </c>
      <c r="DA7">
        <f>1246.023</f>
        <v>1246.0229999999999</v>
      </c>
      <c r="DB7">
        <f>1168.384</f>
        <v>1168.384</v>
      </c>
      <c r="DC7">
        <f>1329.883</f>
        <v>1329.883</v>
      </c>
      <c r="DD7">
        <f>1265.251</f>
        <v>1265.251</v>
      </c>
      <c r="DE7">
        <f>1262.317</f>
        <v>1262.317</v>
      </c>
      <c r="DF7">
        <f>1766.246</f>
        <v>1766.2460000000001</v>
      </c>
      <c r="DG7">
        <f>1704.357</f>
        <v>1704.357</v>
      </c>
      <c r="DH7">
        <f>1841.501</f>
        <v>1841.501</v>
      </c>
      <c r="DI7">
        <f>1860.923</f>
        <v>1860.923</v>
      </c>
      <c r="DJ7">
        <f>1841.078</f>
        <v>1841.078</v>
      </c>
      <c r="DK7">
        <f>1852.928</f>
        <v>1852.9280000000001</v>
      </c>
      <c r="DL7">
        <f>1906.364</f>
        <v>1906.364</v>
      </c>
      <c r="DM7">
        <f>1928.66</f>
        <v>1928.66</v>
      </c>
      <c r="DN7">
        <f>1831.489</f>
        <v>1831.489</v>
      </c>
      <c r="DO7">
        <f>1766.852</f>
        <v>1766.8520000000001</v>
      </c>
      <c r="DP7">
        <f>1734.421</f>
        <v>1734.421</v>
      </c>
      <c r="DQ7">
        <f>1718.635</f>
        <v>1718.635</v>
      </c>
      <c r="DR7">
        <f>1751.98</f>
        <v>1751.98</v>
      </c>
      <c r="DS7">
        <f>1731.554</f>
        <v>1731.5540000000001</v>
      </c>
      <c r="DT7">
        <f>1690.29</f>
        <v>1690.29</v>
      </c>
      <c r="DU7">
        <f>1685.853</f>
        <v>1685.8530000000001</v>
      </c>
    </row>
    <row r="8" spans="1:125">
      <c r="A8" t="str">
        <f>"    办公楼房地产投资信托总股利支付"</f>
        <v xml:space="preserve">    办公楼房地产投资信托总股利支付</v>
      </c>
      <c r="B8" t="str">
        <f>"RECFTDOF Index"</f>
        <v>RECFTDOF Index</v>
      </c>
      <c r="C8" t="str">
        <f>"PR005"</f>
        <v>PR005</v>
      </c>
      <c r="D8" t="str">
        <f>"PX_LAST"</f>
        <v>PX_LAST</v>
      </c>
      <c r="E8" t="str">
        <f>"动态"</f>
        <v>动态</v>
      </c>
      <c r="F8">
        <f ca="1">IF(AND(ISNUMBER($F$38),$B$29=1),$F$38,HLOOKUP(INDIRECT(ADDRESS(2,COLUMN())),OFFSET($BN$2,0,0,ROW()-1,60),ROW()-1,FALSE))</f>
        <v>897.93088790000002</v>
      </c>
      <c r="G8">
        <f ca="1">IF(AND(ISNUMBER($G$38),$B$29=1),$G$38,HLOOKUP(INDIRECT(ADDRESS(2,COLUMN())),OFFSET($BN$2,0,0,ROW()-1,60),ROW()-1,FALSE))</f>
        <v>935.98199999999997</v>
      </c>
      <c r="H8">
        <f ca="1">IF(AND(ISNUMBER($H$38),$B$29=1),$H$38,HLOOKUP(INDIRECT(ADDRESS(2,COLUMN())),OFFSET($BN$2,0,0,ROW()-1,60),ROW()-1,FALSE))</f>
        <v>965.85500000000002</v>
      </c>
      <c r="I8">
        <f ca="1">IF(AND(ISNUMBER($I$38),$B$29=1),$I$38,HLOOKUP(INDIRECT(ADDRESS(2,COLUMN())),OFFSET($BN$2,0,0,ROW()-1,60),ROW()-1,FALSE))</f>
        <v>1244.7560000000001</v>
      </c>
      <c r="J8">
        <f ca="1">IF(AND(ISNUMBER($J$38),$B$29=1),$J$38,HLOOKUP(INDIRECT(ADDRESS(2,COLUMN())),OFFSET($BN$2,0,0,ROW()-1,60),ROW()-1,FALSE))</f>
        <v>1174.595</v>
      </c>
      <c r="K8">
        <f ca="1">IF(AND(ISNUMBER($K$38),$B$29=1),$K$38,HLOOKUP(INDIRECT(ADDRESS(2,COLUMN())),OFFSET($BN$2,0,0,ROW()-1,60),ROW()-1,FALSE))</f>
        <v>813.30600000000004</v>
      </c>
      <c r="L8">
        <f ca="1">IF(AND(ISNUMBER($L$38),$B$29=1),$L$38,HLOOKUP(INDIRECT(ADDRESS(2,COLUMN())),OFFSET($BN$2,0,0,ROW()-1,60),ROW()-1,FALSE))</f>
        <v>932.03700000000003</v>
      </c>
      <c r="M8">
        <f ca="1">IF(AND(ISNUMBER($M$38),$B$29=1),$M$38,HLOOKUP(INDIRECT(ADDRESS(2,COLUMN())),OFFSET($BN$2,0,0,ROW()-1,60),ROW()-1,FALSE))</f>
        <v>1086.9870000000001</v>
      </c>
      <c r="N8">
        <f ca="1">IF(AND(ISNUMBER($N$38),$B$29=1),$N$38,HLOOKUP(INDIRECT(ADDRESS(2,COLUMN())),OFFSET($BN$2,0,0,ROW()-1,60),ROW()-1,FALSE))</f>
        <v>799.26700000000005</v>
      </c>
      <c r="O8">
        <f ca="1">IF(AND(ISNUMBER($O$38),$B$29=1),$O$38,HLOOKUP(INDIRECT(ADDRESS(2,COLUMN())),OFFSET($BN$2,0,0,ROW()-1,60),ROW()-1,FALSE))</f>
        <v>1022.282</v>
      </c>
      <c r="P8">
        <f ca="1">IF(AND(ISNUMBER($P$38),$B$29=1),$P$38,HLOOKUP(INDIRECT(ADDRESS(2,COLUMN())),OFFSET($BN$2,0,0,ROW()-1,60),ROW()-1,FALSE))</f>
        <v>868.27099999999996</v>
      </c>
      <c r="Q8">
        <f ca="1">IF(AND(ISNUMBER($Q$38),$B$29=1),$Q$38,HLOOKUP(INDIRECT(ADDRESS(2,COLUMN())),OFFSET($BN$2,0,0,ROW()-1,60),ROW()-1,FALSE))</f>
        <v>1786.963</v>
      </c>
      <c r="R8">
        <f ca="1">IF(AND(ISNUMBER($R$38),$B$29=1),$R$38,HLOOKUP(INDIRECT(ADDRESS(2,COLUMN())),OFFSET($BN$2,0,0,ROW()-1,60),ROW()-1,FALSE))</f>
        <v>799.12199999999996</v>
      </c>
      <c r="S8">
        <f ca="1">IF(AND(ISNUMBER($S$38),$B$29=1),$S$38,HLOOKUP(INDIRECT(ADDRESS(2,COLUMN())),OFFSET($BN$2,0,0,ROW()-1,60),ROW()-1,FALSE))</f>
        <v>714.07799999999997</v>
      </c>
      <c r="T8">
        <f ca="1">IF(AND(ISNUMBER($T$38),$B$29=1),$T$38,HLOOKUP(INDIRECT(ADDRESS(2,COLUMN())),OFFSET($BN$2,0,0,ROW()-1,60),ROW()-1,FALSE))</f>
        <v>714.45299999999997</v>
      </c>
      <c r="U8">
        <f ca="1">IF(AND(ISNUMBER($U$38),$B$29=1),$U$38,HLOOKUP(INDIRECT(ADDRESS(2,COLUMN())),OFFSET($BN$2,0,0,ROW()-1,60),ROW()-1,FALSE))</f>
        <v>1106.502</v>
      </c>
      <c r="V8">
        <f ca="1">IF(AND(ISNUMBER($V$38),$B$29=1),$V$38,HLOOKUP(INDIRECT(ADDRESS(2,COLUMN())),OFFSET($BN$2,0,0,ROW()-1,60),ROW()-1,FALSE))</f>
        <v>859.48500000000001</v>
      </c>
      <c r="W8">
        <f ca="1">IF(AND(ISNUMBER($W$38),$B$29=1),$W$38,HLOOKUP(INDIRECT(ADDRESS(2,COLUMN())),OFFSET($BN$2,0,0,ROW()-1,60),ROW()-1,FALSE))</f>
        <v>652.74</v>
      </c>
      <c r="X8">
        <f ca="1">IF(AND(ISNUMBER($X$38),$B$29=1),$X$38,HLOOKUP(INDIRECT(ADDRESS(2,COLUMN())),OFFSET($BN$2,0,0,ROW()-1,60),ROW()-1,FALSE))</f>
        <v>670.98500000000001</v>
      </c>
      <c r="Y8">
        <f ca="1">IF(AND(ISNUMBER($Y$38),$B$29=1),$Y$38,HLOOKUP(INDIRECT(ADDRESS(2,COLUMN())),OFFSET($BN$2,0,0,ROW()-1,60),ROW()-1,FALSE))</f>
        <v>661.05700000000002</v>
      </c>
      <c r="Z8">
        <f ca="1">IF(AND(ISNUMBER($Z$38),$B$29=1),$Z$38,HLOOKUP(INDIRECT(ADDRESS(2,COLUMN())),OFFSET($BN$2,0,0,ROW()-1,60),ROW()-1,FALSE))</f>
        <v>560.49599999999998</v>
      </c>
      <c r="AA8">
        <f ca="1">IF(AND(ISNUMBER($AA$38),$B$29=1),$AA$38,HLOOKUP(INDIRECT(ADDRESS(2,COLUMN())),OFFSET($BN$2,0,0,ROW()-1,60),ROW()-1,FALSE))</f>
        <v>564.58100000000002</v>
      </c>
      <c r="AB8">
        <f ca="1">IF(AND(ISNUMBER($AB$38),$B$29=1),$AB$38,HLOOKUP(INDIRECT(ADDRESS(2,COLUMN())),OFFSET($BN$2,0,0,ROW()-1,60),ROW()-1,FALSE))</f>
        <v>596.04100000000005</v>
      </c>
      <c r="AC8">
        <f ca="1">IF(AND(ISNUMBER($AC$38),$B$29=1),$AC$38,HLOOKUP(INDIRECT(ADDRESS(2,COLUMN())),OFFSET($BN$2,0,0,ROW()-1,60),ROW()-1,FALSE))</f>
        <v>639.52599999999995</v>
      </c>
      <c r="AD8">
        <f ca="1">IF(AND(ISNUMBER($AD$38),$B$29=1),$AD$38,HLOOKUP(INDIRECT(ADDRESS(2,COLUMN())),OFFSET($BN$2,0,0,ROW()-1,60),ROW()-1,FALSE))</f>
        <v>523.68100000000004</v>
      </c>
      <c r="AE8">
        <f ca="1">IF(AND(ISNUMBER($AE$38),$B$29=1),$AE$38,HLOOKUP(INDIRECT(ADDRESS(2,COLUMN())),OFFSET($BN$2,0,0,ROW()-1,60),ROW()-1,FALSE))</f>
        <v>537.37300000000005</v>
      </c>
      <c r="AF8">
        <f ca="1">IF(AND(ISNUMBER($AF$38),$B$29=1),$AF$38,HLOOKUP(INDIRECT(ADDRESS(2,COLUMN())),OFFSET($BN$2,0,0,ROW()-1,60),ROW()-1,FALSE))</f>
        <v>650.68899999999996</v>
      </c>
      <c r="AG8">
        <f ca="1">IF(AND(ISNUMBER($AG$38),$B$29=1),$AG$38,HLOOKUP(INDIRECT(ADDRESS(2,COLUMN())),OFFSET($BN$2,0,0,ROW()-1,60),ROW()-1,FALSE))</f>
        <v>494.29500000000002</v>
      </c>
      <c r="AH8">
        <f ca="1">IF(AND(ISNUMBER($AH$38),$B$29=1),$AH$38,HLOOKUP(INDIRECT(ADDRESS(2,COLUMN())),OFFSET($BN$2,0,0,ROW()-1,60),ROW()-1,FALSE))</f>
        <v>484.274</v>
      </c>
      <c r="AI8">
        <f ca="1">IF(AND(ISNUMBER($AI$38),$B$29=1),$AI$38,HLOOKUP(INDIRECT(ADDRESS(2,COLUMN())),OFFSET($BN$2,0,0,ROW()-1,60),ROW()-1,FALSE))</f>
        <v>462.40100000000001</v>
      </c>
      <c r="AJ8">
        <f ca="1">IF(AND(ISNUMBER($AJ$38),$B$29=1),$AJ$38,HLOOKUP(INDIRECT(ADDRESS(2,COLUMN())),OFFSET($BN$2,0,0,ROW()-1,60),ROW()-1,FALSE))</f>
        <v>451.34</v>
      </c>
      <c r="AK8">
        <f ca="1">IF(AND(ISNUMBER($AK$38),$B$29=1),$AK$38,HLOOKUP(INDIRECT(ADDRESS(2,COLUMN())),OFFSET($BN$2,0,0,ROW()-1,60),ROW()-1,FALSE))</f>
        <v>450.565</v>
      </c>
      <c r="AL8">
        <f ca="1">IF(AND(ISNUMBER($AL$38),$B$29=1),$AL$38,HLOOKUP(INDIRECT(ADDRESS(2,COLUMN())),OFFSET($BN$2,0,0,ROW()-1,60),ROW()-1,FALSE))</f>
        <v>380.95</v>
      </c>
      <c r="AM8">
        <f ca="1">IF(AND(ISNUMBER($AM$38),$B$29=1),$AM$38,HLOOKUP(INDIRECT(ADDRESS(2,COLUMN())),OFFSET($BN$2,0,0,ROW()-1,60),ROW()-1,FALSE))</f>
        <v>363.16699999999997</v>
      </c>
      <c r="AN8">
        <f ca="1">IF(AND(ISNUMBER($AN$38),$B$29=1),$AN$38,HLOOKUP(INDIRECT(ADDRESS(2,COLUMN())),OFFSET($BN$2,0,0,ROW()-1,60),ROW()-1,FALSE))</f>
        <v>431.69400000000002</v>
      </c>
      <c r="AO8">
        <f ca="1">IF(AND(ISNUMBER($AO$38),$B$29=1),$AO$38,HLOOKUP(INDIRECT(ADDRESS(2,COLUMN())),OFFSET($BN$2,0,0,ROW()-1,60),ROW()-1,FALSE))</f>
        <v>472.452</v>
      </c>
      <c r="AP8">
        <f ca="1">IF(AND(ISNUMBER($AP$38),$B$29=1),$AP$38,HLOOKUP(INDIRECT(ADDRESS(2,COLUMN())),OFFSET($BN$2,0,0,ROW()-1,60),ROW()-1,FALSE))</f>
        <v>569.83749999999998</v>
      </c>
      <c r="AQ8">
        <f ca="1">IF(AND(ISNUMBER($AQ$38),$B$29=1),$AQ$38,HLOOKUP(INDIRECT(ADDRESS(2,COLUMN())),OFFSET($BN$2,0,0,ROW()-1,60),ROW()-1,FALSE))</f>
        <v>536.96</v>
      </c>
      <c r="AR8">
        <f ca="1">IF(AND(ISNUMBER($AR$38),$B$29=1),$AR$38,HLOOKUP(INDIRECT(ADDRESS(2,COLUMN())),OFFSET($BN$2,0,0,ROW()-1,60),ROW()-1,FALSE))</f>
        <v>549.34299999999996</v>
      </c>
      <c r="AS8">
        <f ca="1">IF(AND(ISNUMBER($AS$38),$B$29=1),$AS$38,HLOOKUP(INDIRECT(ADDRESS(2,COLUMN())),OFFSET($BN$2,0,0,ROW()-1,60),ROW()-1,FALSE))</f>
        <v>1384.4090000000001</v>
      </c>
      <c r="AT8">
        <f ca="1">IF(AND(ISNUMBER($AT$38),$B$29=1),$AT$38,HLOOKUP(INDIRECT(ADDRESS(2,COLUMN())),OFFSET($BN$2,0,0,ROW()-1,60),ROW()-1,FALSE))</f>
        <v>568.73850000000004</v>
      </c>
      <c r="AU8">
        <f ca="1">IF(AND(ISNUMBER($AU$38),$B$29=1),$AU$38,HLOOKUP(INDIRECT(ADDRESS(2,COLUMN())),OFFSET($BN$2,0,0,ROW()-1,60),ROW()-1,FALSE))</f>
        <v>562.41099999999994</v>
      </c>
      <c r="AV8">
        <f ca="1">IF(AND(ISNUMBER($AV$38),$B$29=1),$AV$38,HLOOKUP(INDIRECT(ADDRESS(2,COLUMN())),OFFSET($BN$2,0,0,ROW()-1,60),ROW()-1,FALSE))</f>
        <v>609.35699999999997</v>
      </c>
      <c r="AW8">
        <f ca="1">IF(AND(ISNUMBER($AW$38),$B$29=1),$AW$38,HLOOKUP(INDIRECT(ADDRESS(2,COLUMN())),OFFSET($BN$2,0,0,ROW()-1,60),ROW()-1,FALSE))</f>
        <v>1370.4829999999999</v>
      </c>
      <c r="AX8">
        <f ca="1">IF(AND(ISNUMBER($AX$38),$B$29=1),$AX$38,HLOOKUP(INDIRECT(ADDRESS(2,COLUMN())),OFFSET($BN$2,0,0,ROW()-1,60),ROW()-1,FALSE))</f>
        <v>953.40899999999999</v>
      </c>
      <c r="AY8">
        <f ca="1">IF(AND(ISNUMBER($AY$38),$B$29=1),$AY$38,HLOOKUP(INDIRECT(ADDRESS(2,COLUMN())),OFFSET($BN$2,0,0,ROW()-1,60),ROW()-1,FALSE))</f>
        <v>721.279</v>
      </c>
      <c r="AZ8">
        <f ca="1">IF(AND(ISNUMBER($AZ$38),$B$29=1),$AZ$38,HLOOKUP(INDIRECT(ADDRESS(2,COLUMN())),OFFSET($BN$2,0,0,ROW()-1,60),ROW()-1,FALSE))</f>
        <v>751.85400000000004</v>
      </c>
      <c r="BA8">
        <f ca="1">IF(AND(ISNUMBER($BA$38),$B$29=1),$BA$38,HLOOKUP(INDIRECT(ADDRESS(2,COLUMN())),OFFSET($BN$2,0,0,ROW()-1,60),ROW()-1,FALSE))</f>
        <v>636.03499999999997</v>
      </c>
      <c r="BB8">
        <f ca="1">IF(AND(ISNUMBER($BB$38),$B$29=1),$BB$38,HLOOKUP(INDIRECT(ADDRESS(2,COLUMN())),OFFSET($BN$2,0,0,ROW()-1,60),ROW()-1,FALSE))</f>
        <v>1425.1935000000001</v>
      </c>
      <c r="BC8">
        <f ca="1">IF(AND(ISNUMBER($BC$38),$B$29=1),$BC$38,HLOOKUP(INDIRECT(ADDRESS(2,COLUMN())),OFFSET($BN$2,0,0,ROW()-1,60),ROW()-1,FALSE))</f>
        <v>875.88599999999997</v>
      </c>
      <c r="BD8">
        <f ca="1">IF(AND(ISNUMBER($BD$38),$B$29=1),$BD$38,HLOOKUP(INDIRECT(ADDRESS(2,COLUMN())),OFFSET($BN$2,0,0,ROW()-1,60),ROW()-1,FALSE))</f>
        <v>881.58199999999999</v>
      </c>
      <c r="BE8">
        <f ca="1">IF(AND(ISNUMBER($BE$38),$B$29=1),$BE$38,HLOOKUP(INDIRECT(ADDRESS(2,COLUMN())),OFFSET($BN$2,0,0,ROW()-1,60),ROW()-1,FALSE))</f>
        <v>697.65800000000002</v>
      </c>
      <c r="BF8">
        <f ca="1">IF(AND(ISNUMBER($BF$38),$B$29=1),$BF$38,HLOOKUP(INDIRECT(ADDRESS(2,COLUMN())),OFFSET($BN$2,0,0,ROW()-1,60),ROW()-1,FALSE))</f>
        <v>1081.6125</v>
      </c>
      <c r="BG8">
        <f ca="1">IF(AND(ISNUMBER($BG$38),$B$29=1),$BG$38,HLOOKUP(INDIRECT(ADDRESS(2,COLUMN())),OFFSET($BN$2,0,0,ROW()-1,60),ROW()-1,FALSE))</f>
        <v>834.86</v>
      </c>
      <c r="BH8">
        <f ca="1">IF(AND(ISNUMBER($BH$38),$B$29=1),$BH$38,HLOOKUP(INDIRECT(ADDRESS(2,COLUMN())),OFFSET($BN$2,0,0,ROW()-1,60),ROW()-1,FALSE))</f>
        <v>790.995</v>
      </c>
      <c r="BI8">
        <f ca="1">IF(AND(ISNUMBER($BI$38),$B$29=1),$BI$38,HLOOKUP(INDIRECT(ADDRESS(2,COLUMN())),OFFSET($BN$2,0,0,ROW()-1,60),ROW()-1,FALSE))</f>
        <v>518.00800000000004</v>
      </c>
      <c r="BJ8">
        <f ca="1">IF(AND(ISNUMBER($BJ$38),$B$29=1),$BJ$38,HLOOKUP(INDIRECT(ADDRESS(2,COLUMN())),OFFSET($BN$2,0,0,ROW()-1,60),ROW()-1,FALSE))</f>
        <v>1064.3454999999999</v>
      </c>
      <c r="BK8">
        <f ca="1">IF(AND(ISNUMBER($BK$38),$B$29=1),$BK$38,HLOOKUP(INDIRECT(ADDRESS(2,COLUMN())),OFFSET($BN$2,0,0,ROW()-1,60),ROW()-1,FALSE))</f>
        <v>748.47299999999996</v>
      </c>
      <c r="BL8">
        <f ca="1">IF(AND(ISNUMBER($BL$38),$B$29=1),$BL$38,HLOOKUP(INDIRECT(ADDRESS(2,COLUMN())),OFFSET($BN$2,0,0,ROW()-1,60),ROW()-1,FALSE))</f>
        <v>756.55799999999999</v>
      </c>
      <c r="BM8">
        <f ca="1">IF(AND(ISNUMBER($BM$38),$B$29=1),$BM$38,HLOOKUP(INDIRECT(ADDRESS(2,COLUMN())),OFFSET($BN$2,0,0,ROW()-1,60),ROW()-1,FALSE))</f>
        <v>501.00299999999999</v>
      </c>
      <c r="BN8">
        <f>897.9308879</f>
        <v>897.93088790000002</v>
      </c>
      <c r="BO8">
        <f>935.982</f>
        <v>935.98199999999997</v>
      </c>
      <c r="BP8">
        <f>965.855</f>
        <v>965.85500000000002</v>
      </c>
      <c r="BQ8">
        <f>1244.756</f>
        <v>1244.7560000000001</v>
      </c>
      <c r="BR8">
        <f>1174.595</f>
        <v>1174.595</v>
      </c>
      <c r="BS8">
        <f>813.306</f>
        <v>813.30600000000004</v>
      </c>
      <c r="BT8">
        <f>932.037</f>
        <v>932.03700000000003</v>
      </c>
      <c r="BU8">
        <f>1086.987</f>
        <v>1086.9870000000001</v>
      </c>
      <c r="BV8">
        <f>799.267</f>
        <v>799.26700000000005</v>
      </c>
      <c r="BW8">
        <f>1022.282</f>
        <v>1022.282</v>
      </c>
      <c r="BX8">
        <f>868.271</f>
        <v>868.27099999999996</v>
      </c>
      <c r="BY8">
        <f>1786.963</f>
        <v>1786.963</v>
      </c>
      <c r="BZ8">
        <f>799.122</f>
        <v>799.12199999999996</v>
      </c>
      <c r="CA8">
        <f>714.078</f>
        <v>714.07799999999997</v>
      </c>
      <c r="CB8">
        <f>714.453</f>
        <v>714.45299999999997</v>
      </c>
      <c r="CC8">
        <f>1106.502</f>
        <v>1106.502</v>
      </c>
      <c r="CD8">
        <f>859.485</f>
        <v>859.48500000000001</v>
      </c>
      <c r="CE8">
        <f>652.74</f>
        <v>652.74</v>
      </c>
      <c r="CF8">
        <f>670.985</f>
        <v>670.98500000000001</v>
      </c>
      <c r="CG8">
        <f>661.057</f>
        <v>661.05700000000002</v>
      </c>
      <c r="CH8">
        <f>560.496</f>
        <v>560.49599999999998</v>
      </c>
      <c r="CI8">
        <f>564.581</f>
        <v>564.58100000000002</v>
      </c>
      <c r="CJ8">
        <f>596.041</f>
        <v>596.04100000000005</v>
      </c>
      <c r="CK8">
        <f>639.526</f>
        <v>639.52599999999995</v>
      </c>
      <c r="CL8">
        <f>523.681</f>
        <v>523.68100000000004</v>
      </c>
      <c r="CM8">
        <f>537.373</f>
        <v>537.37300000000005</v>
      </c>
      <c r="CN8">
        <f>650.689</f>
        <v>650.68899999999996</v>
      </c>
      <c r="CO8">
        <f>494.295</f>
        <v>494.29500000000002</v>
      </c>
      <c r="CP8">
        <f>484.274</f>
        <v>484.274</v>
      </c>
      <c r="CQ8">
        <f>462.401</f>
        <v>462.40100000000001</v>
      </c>
      <c r="CR8">
        <f>451.34</f>
        <v>451.34</v>
      </c>
      <c r="CS8">
        <f>450.565</f>
        <v>450.565</v>
      </c>
      <c r="CT8">
        <f>380.95</f>
        <v>380.95</v>
      </c>
      <c r="CU8">
        <f>363.167</f>
        <v>363.16699999999997</v>
      </c>
      <c r="CV8">
        <f>431.694</f>
        <v>431.69400000000002</v>
      </c>
      <c r="CW8">
        <f>472.452</f>
        <v>472.452</v>
      </c>
      <c r="CX8">
        <f>569.8375</f>
        <v>569.83749999999998</v>
      </c>
      <c r="CY8">
        <f>536.96</f>
        <v>536.96</v>
      </c>
      <c r="CZ8">
        <f>549.343</f>
        <v>549.34299999999996</v>
      </c>
      <c r="DA8">
        <f>1384.409</f>
        <v>1384.4090000000001</v>
      </c>
      <c r="DB8">
        <f>568.7385</f>
        <v>568.73850000000004</v>
      </c>
      <c r="DC8">
        <f>562.411</f>
        <v>562.41099999999994</v>
      </c>
      <c r="DD8">
        <f>609.357</f>
        <v>609.35699999999997</v>
      </c>
      <c r="DE8">
        <f>1370.483</f>
        <v>1370.4829999999999</v>
      </c>
      <c r="DF8">
        <f>953.409</f>
        <v>953.40899999999999</v>
      </c>
      <c r="DG8">
        <f>721.279</f>
        <v>721.279</v>
      </c>
      <c r="DH8">
        <f>751.854</f>
        <v>751.85400000000004</v>
      </c>
      <c r="DI8">
        <f>636.035</f>
        <v>636.03499999999997</v>
      </c>
      <c r="DJ8">
        <f>1425.1935</f>
        <v>1425.1935000000001</v>
      </c>
      <c r="DK8">
        <f>875.886</f>
        <v>875.88599999999997</v>
      </c>
      <c r="DL8">
        <f>881.582</f>
        <v>881.58199999999999</v>
      </c>
      <c r="DM8">
        <f>697.658</f>
        <v>697.65800000000002</v>
      </c>
      <c r="DN8">
        <f>1081.6125</f>
        <v>1081.6125</v>
      </c>
      <c r="DO8">
        <f>834.86</f>
        <v>834.86</v>
      </c>
      <c r="DP8">
        <f>790.995</f>
        <v>790.995</v>
      </c>
      <c r="DQ8">
        <f>518.008</f>
        <v>518.00800000000004</v>
      </c>
      <c r="DR8">
        <f>1064.3455</f>
        <v>1064.3454999999999</v>
      </c>
      <c r="DS8">
        <f>748.473</f>
        <v>748.47299999999996</v>
      </c>
      <c r="DT8">
        <f>756.558</f>
        <v>756.55799999999999</v>
      </c>
      <c r="DU8">
        <f>501.003</f>
        <v>501.00299999999999</v>
      </c>
    </row>
    <row r="9" spans="1:125">
      <c r="A9" t="str">
        <f>"    办公楼房地产投资信托总收购"</f>
        <v xml:space="preserve">    办公楼房地产投资信托总收购</v>
      </c>
      <c r="B9" t="str">
        <f>"RECFTAOF Index"</f>
        <v>RECFTAOF Index</v>
      </c>
      <c r="E9" t="str">
        <f>"Expression"</f>
        <v>Expression</v>
      </c>
      <c r="F9">
        <f ca="1">IF(AND($B$29=1,LEN($F$31)&gt;0),$F$31*1000,HLOOKUP(INDIRECT(ADDRESS(2,COLUMN())),OFFSET($BN$2,0,0,ROW()-1,60),ROW()-1,FALSE))</f>
        <v>2918.5450000000001</v>
      </c>
      <c r="G9">
        <f ca="1">IF(AND($B$29=1,LEN($G$31)&gt;0),$G$31*1000,HLOOKUP(INDIRECT(ADDRESS(2,COLUMN())),OFFSET($BN$2,0,0,ROW()-1,60),ROW()-1,FALSE))</f>
        <v>842.91200000000003</v>
      </c>
      <c r="H9">
        <f ca="1">IF(AND($B$29=1,LEN($H$31)&gt;0),$H$31*1000,HLOOKUP(INDIRECT(ADDRESS(2,COLUMN())),OFFSET($BN$2,0,0,ROW()-1,60),ROW()-1,FALSE))</f>
        <v>1459.193</v>
      </c>
      <c r="I9">
        <f ca="1">IF(AND($B$29=1,LEN($I$31)&gt;0),$I$31*1000,HLOOKUP(INDIRECT(ADDRESS(2,COLUMN())),OFFSET($BN$2,0,0,ROW()-1,60),ROW()-1,FALSE))</f>
        <v>1211.7809999999999</v>
      </c>
      <c r="J9">
        <f ca="1">IF(AND($B$29=1,LEN($J$31)&gt;0),$J$31*1000,HLOOKUP(INDIRECT(ADDRESS(2,COLUMN())),OFFSET($BN$2,0,0,ROW()-1,60),ROW()-1,FALSE))</f>
        <v>5052.027</v>
      </c>
      <c r="K9">
        <f ca="1">IF(AND($B$29=1,LEN($K$31)&gt;0),$K$31*1000,HLOOKUP(INDIRECT(ADDRESS(2,COLUMN())),OFFSET($BN$2,0,0,ROW()-1,60),ROW()-1,FALSE))</f>
        <v>2289.7739999999999</v>
      </c>
      <c r="L9">
        <f ca="1">IF(AND($B$29=1,LEN($L$31)&gt;0),$L$31*1000,HLOOKUP(INDIRECT(ADDRESS(2,COLUMN())),OFFSET($BN$2,0,0,ROW()-1,60),ROW()-1,FALSE))</f>
        <v>1889.355</v>
      </c>
      <c r="M9">
        <f ca="1">IF(AND($B$29=1,LEN($M$31)&gt;0),$M$31*1000,HLOOKUP(INDIRECT(ADDRESS(2,COLUMN())),OFFSET($BN$2,0,0,ROW()-1,60),ROW()-1,FALSE))</f>
        <v>1644.2449999999999</v>
      </c>
      <c r="N9">
        <f ca="1">IF(AND($B$29=1,LEN($N$31)&gt;0),$N$31*1000,HLOOKUP(INDIRECT(ADDRESS(2,COLUMN())),OFFSET($BN$2,0,0,ROW()-1,60),ROW()-1,FALSE))</f>
        <v>4085.1080000000002</v>
      </c>
      <c r="O9">
        <f ca="1">IF(AND($B$29=1,LEN($O$31)&gt;0),$O$31*1000,HLOOKUP(INDIRECT(ADDRESS(2,COLUMN())),OFFSET($BN$2,0,0,ROW()-1,60),ROW()-1,FALSE))</f>
        <v>4647.0990000000002</v>
      </c>
      <c r="P9">
        <f ca="1">IF(AND($B$29=1,LEN($P$31)&gt;0),$P$31*1000,HLOOKUP(INDIRECT(ADDRESS(2,COLUMN())),OFFSET($BN$2,0,0,ROW()-1,60),ROW()-1,FALSE))</f>
        <v>4819.5460000000003</v>
      </c>
      <c r="Q9">
        <f ca="1">IF(AND($B$29=1,LEN($Q$31)&gt;0),$Q$31*1000,HLOOKUP(INDIRECT(ADDRESS(2,COLUMN())),OFFSET($BN$2,0,0,ROW()-1,60),ROW()-1,FALSE))</f>
        <v>2023.002</v>
      </c>
      <c r="R9">
        <f ca="1">IF(AND($B$29=1,LEN($R$31)&gt;0),$R$31*1000,HLOOKUP(INDIRECT(ADDRESS(2,COLUMN())),OFFSET($BN$2,0,0,ROW()-1,60),ROW()-1,FALSE))</f>
        <v>2880.2020000000002</v>
      </c>
      <c r="S9">
        <f ca="1">IF(AND($B$29=1,LEN($S$31)&gt;0),$S$31*1000,HLOOKUP(INDIRECT(ADDRESS(2,COLUMN())),OFFSET($BN$2,0,0,ROW()-1,60),ROW()-1,FALSE))</f>
        <v>2523.4279999999999</v>
      </c>
      <c r="T9">
        <f ca="1">IF(AND($B$29=1,LEN($T$31)&gt;0),$T$31*1000,HLOOKUP(INDIRECT(ADDRESS(2,COLUMN())),OFFSET($BN$2,0,0,ROW()-1,60),ROW()-1,FALSE))</f>
        <v>2725.13</v>
      </c>
      <c r="U9">
        <f ca="1">IF(AND($B$29=1,LEN($U$31)&gt;0),$U$31*1000,HLOOKUP(INDIRECT(ADDRESS(2,COLUMN())),OFFSET($BN$2,0,0,ROW()-1,60),ROW()-1,FALSE))</f>
        <v>359.589</v>
      </c>
      <c r="V9">
        <f ca="1">IF(AND($B$29=1,LEN($V$31)&gt;0),$V$31*1000,HLOOKUP(INDIRECT(ADDRESS(2,COLUMN())),OFFSET($BN$2,0,0,ROW()-1,60),ROW()-1,FALSE))</f>
        <v>2900.5320000000002</v>
      </c>
      <c r="W9">
        <f ca="1">IF(AND($B$29=1,LEN($W$31)&gt;0),$W$31*1000,HLOOKUP(INDIRECT(ADDRESS(2,COLUMN())),OFFSET($BN$2,0,0,ROW()-1,60),ROW()-1,FALSE))</f>
        <v>1878.2170000000001</v>
      </c>
      <c r="X9">
        <f ca="1">IF(AND($B$29=1,LEN($X$31)&gt;0),$X$31*1000,HLOOKUP(INDIRECT(ADDRESS(2,COLUMN())),OFFSET($BN$2,0,0,ROW()-1,60),ROW()-1,FALSE))</f>
        <v>1112.4549999999999</v>
      </c>
      <c r="Y9">
        <f ca="1">IF(AND($B$29=1,LEN($Y$31)&gt;0),$Y$31*1000,HLOOKUP(INDIRECT(ADDRESS(2,COLUMN())),OFFSET($BN$2,0,0,ROW()-1,60),ROW()-1,FALSE))</f>
        <v>1409.2380000000001</v>
      </c>
      <c r="Z9">
        <f ca="1">IF(AND($B$29=1,LEN($Z$31)&gt;0),$Z$31*1000,HLOOKUP(INDIRECT(ADDRESS(2,COLUMN())),OFFSET($BN$2,0,0,ROW()-1,60),ROW()-1,FALSE))</f>
        <v>2150.0100000000002</v>
      </c>
      <c r="AA9">
        <f ca="1">IF(AND($B$29=1,LEN($AA$31)&gt;0),$AA$31*1000,HLOOKUP(INDIRECT(ADDRESS(2,COLUMN())),OFFSET($BN$2,0,0,ROW()-1,60),ROW()-1,FALSE))</f>
        <v>2281.6460000000002</v>
      </c>
      <c r="AB9">
        <f ca="1">IF(AND($B$29=1,LEN($AB$31)&gt;0),$AB$31*1000,HLOOKUP(INDIRECT(ADDRESS(2,COLUMN())),OFFSET($BN$2,0,0,ROW()-1,60),ROW()-1,FALSE))</f>
        <v>1089.17</v>
      </c>
      <c r="AC9">
        <f ca="1">IF(AND($B$29=1,LEN($AC$31)&gt;0),$AC$31*1000,HLOOKUP(INDIRECT(ADDRESS(2,COLUMN())),OFFSET($BN$2,0,0,ROW()-1,60),ROW()-1,FALSE))</f>
        <v>2029.66</v>
      </c>
      <c r="AD9">
        <f ca="1">IF(AND($B$29=1,LEN($AD$31)&gt;0),$AD$31*1000,HLOOKUP(INDIRECT(ADDRESS(2,COLUMN())),OFFSET($BN$2,0,0,ROW()-1,60),ROW()-1,FALSE))</f>
        <v>1303.1559999999999</v>
      </c>
      <c r="AE9">
        <f ca="1">IF(AND($B$29=1,LEN($AE$31)&gt;0),$AE$31*1000,HLOOKUP(INDIRECT(ADDRESS(2,COLUMN())),OFFSET($BN$2,0,0,ROW()-1,60),ROW()-1,FALSE))</f>
        <v>1575.3119999999999</v>
      </c>
      <c r="AF9">
        <f ca="1">IF(AND($B$29=1,LEN($AF$31)&gt;0),$AF$31*1000,HLOOKUP(INDIRECT(ADDRESS(2,COLUMN())),OFFSET($BN$2,0,0,ROW()-1,60),ROW()-1,FALSE))</f>
        <v>4069.3710000000001</v>
      </c>
      <c r="AG9">
        <f ca="1">IF(AND($B$29=1,LEN($AG$31)&gt;0),$AG$31*1000,HLOOKUP(INDIRECT(ADDRESS(2,COLUMN())),OFFSET($BN$2,0,0,ROW()-1,60),ROW()-1,FALSE))</f>
        <v>1966.163</v>
      </c>
      <c r="AH9">
        <f ca="1">IF(AND($B$29=1,LEN($AH$31)&gt;0),$AH$31*1000,HLOOKUP(INDIRECT(ADDRESS(2,COLUMN())),OFFSET($BN$2,0,0,ROW()-1,60),ROW()-1,FALSE))</f>
        <v>3916.9070000000002</v>
      </c>
      <c r="AI9">
        <f ca="1">IF(AND($B$29=1,LEN($AI$31)&gt;0),$AI$31*1000,HLOOKUP(INDIRECT(ADDRESS(2,COLUMN())),OFFSET($BN$2,0,0,ROW()-1,60),ROW()-1,FALSE))</f>
        <v>1623.4929999999999</v>
      </c>
      <c r="AJ9">
        <f ca="1">IF(AND($B$29=1,LEN($AJ$31)&gt;0),$AJ$31*1000,HLOOKUP(INDIRECT(ADDRESS(2,COLUMN())),OFFSET($BN$2,0,0,ROW()-1,60),ROW()-1,FALSE))</f>
        <v>1361.095</v>
      </c>
      <c r="AK9">
        <f ca="1">IF(AND($B$29=1,LEN($AK$31)&gt;0),$AK$31*1000,HLOOKUP(INDIRECT(ADDRESS(2,COLUMN())),OFFSET($BN$2,0,0,ROW()-1,60),ROW()-1,FALSE))</f>
        <v>290.19799999999998</v>
      </c>
      <c r="AL9">
        <f ca="1">IF(AND($B$29=1,LEN($AL$31)&gt;0),$AL$31*1000,HLOOKUP(INDIRECT(ADDRESS(2,COLUMN())),OFFSET($BN$2,0,0,ROW()-1,60),ROW()-1,FALSE))</f>
        <v>474.51900000000001</v>
      </c>
      <c r="AM9">
        <f ca="1">IF(AND($B$29=1,LEN($AM$31)&gt;0),$AM$31*1000,HLOOKUP(INDIRECT(ADDRESS(2,COLUMN())),OFFSET($BN$2,0,0,ROW()-1,60),ROW()-1,FALSE))</f>
        <v>298.8</v>
      </c>
      <c r="AN9">
        <f ca="1">IF(AND($B$29=1,LEN($AN$31)&gt;0),$AN$31*1000,HLOOKUP(INDIRECT(ADDRESS(2,COLUMN())),OFFSET($BN$2,0,0,ROW()-1,60),ROW()-1,FALSE))</f>
        <v>232.53399999999999</v>
      </c>
      <c r="AO9">
        <f ca="1">IF(AND($B$29=1,LEN($AO$31)&gt;0),$AO$31*1000,HLOOKUP(INDIRECT(ADDRESS(2,COLUMN())),OFFSET($BN$2,0,0,ROW()-1,60),ROW()-1,FALSE))</f>
        <v>57.5</v>
      </c>
      <c r="AP9">
        <f ca="1">IF(AND($B$29=1,LEN($AP$31)&gt;0),$AP$31*1000,HLOOKUP(INDIRECT(ADDRESS(2,COLUMN())),OFFSET($BN$2,0,0,ROW()-1,60),ROW()-1,FALSE))</f>
        <v>195.709</v>
      </c>
      <c r="AQ9">
        <f ca="1">IF(AND($B$29=1,LEN($AQ$31)&gt;0),$AQ$31*1000,HLOOKUP(INDIRECT(ADDRESS(2,COLUMN())),OFFSET($BN$2,0,0,ROW()-1,60),ROW()-1,FALSE))</f>
        <v>1169.9369999999999</v>
      </c>
      <c r="AR9">
        <f ca="1">IF(AND($B$29=1,LEN($AR$31)&gt;0),$AR$31*1000,HLOOKUP(INDIRECT(ADDRESS(2,COLUMN())),OFFSET($BN$2,0,0,ROW()-1,60),ROW()-1,FALSE))</f>
        <v>1838.43</v>
      </c>
      <c r="AS9">
        <f ca="1">IF(AND($B$29=1,LEN($AS$31)&gt;0),$AS$31*1000,HLOOKUP(INDIRECT(ADDRESS(2,COLUMN())),OFFSET($BN$2,0,0,ROW()-1,60),ROW()-1,FALSE))</f>
        <v>1061.577</v>
      </c>
      <c r="AT9">
        <f ca="1">IF(AND($B$29=1,LEN($AT$31)&gt;0),$AT$31*1000,HLOOKUP(INDIRECT(ADDRESS(2,COLUMN())),OFFSET($BN$2,0,0,ROW()-1,60),ROW()-1,FALSE))</f>
        <v>2330.6889999999999</v>
      </c>
      <c r="AU9">
        <f ca="1">IF(AND($B$29=1,LEN($AU$31)&gt;0),$AU$31*1000,HLOOKUP(INDIRECT(ADDRESS(2,COLUMN())),OFFSET($BN$2,0,0,ROW()-1,60),ROW()-1,FALSE))</f>
        <v>1868.7249999999999</v>
      </c>
      <c r="AV9">
        <f ca="1">IF(AND($B$29=1,LEN($AV$31)&gt;0),$AV$31*1000,HLOOKUP(INDIRECT(ADDRESS(2,COLUMN())),OFFSET($BN$2,0,0,ROW()-1,60),ROW()-1,FALSE))</f>
        <v>2322.9659999999999</v>
      </c>
      <c r="AW9">
        <f ca="1">IF(AND($B$29=1,LEN($AW$31)&gt;0),$AW$31*1000,HLOOKUP(INDIRECT(ADDRESS(2,COLUMN())),OFFSET($BN$2,0,0,ROW()-1,60),ROW()-1,FALSE))</f>
        <v>5955.0950000000003</v>
      </c>
      <c r="AX9">
        <f ca="1">IF(AND($B$29=1,LEN($AX$31)&gt;0),$AX$31*1000,HLOOKUP(INDIRECT(ADDRESS(2,COLUMN())),OFFSET($BN$2,0,0,ROW()-1,60),ROW()-1,FALSE))</f>
        <v>2811.4290000000001</v>
      </c>
      <c r="AY9">
        <f ca="1">IF(AND($B$29=1,LEN($AY$31)&gt;0),$AY$31*1000,HLOOKUP(INDIRECT(ADDRESS(2,COLUMN())),OFFSET($BN$2,0,0,ROW()-1,60),ROW()-1,FALSE))</f>
        <v>2565.348</v>
      </c>
      <c r="AZ9">
        <f ca="1">IF(AND($B$29=1,LEN($AZ$31)&gt;0),$AZ$31*1000,HLOOKUP(INDIRECT(ADDRESS(2,COLUMN())),OFFSET($BN$2,0,0,ROW()-1,60),ROW()-1,FALSE))</f>
        <v>3066.607</v>
      </c>
      <c r="BA9">
        <f ca="1">IF(AND($B$29=1,LEN($BA$31)&gt;0),$BA$31*1000,HLOOKUP(INDIRECT(ADDRESS(2,COLUMN())),OFFSET($BN$2,0,0,ROW()-1,60),ROW()-1,FALSE))</f>
        <v>3693.2629999999999</v>
      </c>
      <c r="BB9">
        <f ca="1">IF(AND($B$29=1,LEN($BB$31)&gt;0),$BB$31*1000,HLOOKUP(INDIRECT(ADDRESS(2,COLUMN())),OFFSET($BN$2,0,0,ROW()-1,60),ROW()-1,FALSE))</f>
        <v>2030.799</v>
      </c>
      <c r="BC9">
        <f ca="1">IF(AND($B$29=1,LEN($BC$31)&gt;0),$BC$31*1000,HLOOKUP(INDIRECT(ADDRESS(2,COLUMN())),OFFSET($BN$2,0,0,ROW()-1,60),ROW()-1,FALSE))</f>
        <v>2273.8200000000002</v>
      </c>
      <c r="BD9">
        <f ca="1">IF(AND($B$29=1,LEN($BD$31)&gt;0),$BD$31*1000,HLOOKUP(INDIRECT(ADDRESS(2,COLUMN())),OFFSET($BN$2,0,0,ROW()-1,60),ROW()-1,FALSE))</f>
        <v>3399.627</v>
      </c>
      <c r="BE9">
        <f ca="1">IF(AND($B$29=1,LEN($BE$31)&gt;0),$BE$31*1000,HLOOKUP(INDIRECT(ADDRESS(2,COLUMN())),OFFSET($BN$2,0,0,ROW()-1,60),ROW()-1,FALSE))</f>
        <v>1417.1510000000001</v>
      </c>
      <c r="BF9">
        <f ca="1">IF(AND($B$29=1,LEN($BF$31)&gt;0),$BF$31*1000,HLOOKUP(INDIRECT(ADDRESS(2,COLUMN())),OFFSET($BN$2,0,0,ROW()-1,60),ROW()-1,FALSE))</f>
        <v>2003.7280000000001</v>
      </c>
      <c r="BG9">
        <f ca="1">IF(AND($B$29=1,LEN($BG$31)&gt;0),$BG$31*1000,HLOOKUP(INDIRECT(ADDRESS(2,COLUMN())),OFFSET($BN$2,0,0,ROW()-1,60),ROW()-1,FALSE))</f>
        <v>3671.43</v>
      </c>
      <c r="BH9">
        <f ca="1">IF(AND($B$29=1,LEN($BH$31)&gt;0),$BH$31*1000,HLOOKUP(INDIRECT(ADDRESS(2,COLUMN())),OFFSET($BN$2,0,0,ROW()-1,60),ROW()-1,FALSE))</f>
        <v>1186.768</v>
      </c>
      <c r="BI9">
        <f ca="1">IF(AND($B$29=1,LEN($BI$31)&gt;0),$BI$31*1000,HLOOKUP(INDIRECT(ADDRESS(2,COLUMN())),OFFSET($BN$2,0,0,ROW()-1,60),ROW()-1,FALSE))</f>
        <v>715.27099999999996</v>
      </c>
      <c r="BJ9">
        <f ca="1">IF(AND($B$29=1,LEN($BJ$31)&gt;0),$BJ$31*1000,HLOOKUP(INDIRECT(ADDRESS(2,COLUMN())),OFFSET($BN$2,0,0,ROW()-1,60),ROW()-1,FALSE))</f>
        <v>1847.087</v>
      </c>
      <c r="BK9">
        <f ca="1">IF(AND($B$29=1,LEN($BK$31)&gt;0),$BK$31*1000,HLOOKUP(INDIRECT(ADDRESS(2,COLUMN())),OFFSET($BN$2,0,0,ROW()-1,60),ROW()-1,FALSE))</f>
        <v>189.02099999999999</v>
      </c>
      <c r="BL9">
        <f ca="1">IF(AND($B$29=1,LEN($BL$31)&gt;0),$BL$31*1000,HLOOKUP(INDIRECT(ADDRESS(2,COLUMN())),OFFSET($BN$2,0,0,ROW()-1,60),ROW()-1,FALSE))</f>
        <v>18.273</v>
      </c>
      <c r="BM9">
        <f ca="1">IF(AND($B$29=1,LEN($BM$31)&gt;0),$BM$31*1000,HLOOKUP(INDIRECT(ADDRESS(2,COLUMN())),OFFSET($BN$2,0,0,ROW()-1,60),ROW()-1,FALSE))</f>
        <v>370.9</v>
      </c>
      <c r="BN9">
        <f>2918.545</f>
        <v>2918.5450000000001</v>
      </c>
      <c r="BO9">
        <f>842.912</f>
        <v>842.91200000000003</v>
      </c>
      <c r="BP9">
        <f>1459.193</f>
        <v>1459.193</v>
      </c>
      <c r="BQ9">
        <f>1211.781</f>
        <v>1211.7809999999999</v>
      </c>
      <c r="BR9">
        <f>5052.027</f>
        <v>5052.027</v>
      </c>
      <c r="BS9">
        <f>2289.774</f>
        <v>2289.7739999999999</v>
      </c>
      <c r="BT9">
        <f>1889.355</f>
        <v>1889.355</v>
      </c>
      <c r="BU9">
        <f>1644.245</f>
        <v>1644.2449999999999</v>
      </c>
      <c r="BV9">
        <f>4085.108</f>
        <v>4085.1080000000002</v>
      </c>
      <c r="BW9">
        <f>4647.099</f>
        <v>4647.0990000000002</v>
      </c>
      <c r="BX9">
        <f>4819.546</f>
        <v>4819.5460000000003</v>
      </c>
      <c r="BY9">
        <f>2023.002</f>
        <v>2023.002</v>
      </c>
      <c r="BZ9">
        <f>2880.202</f>
        <v>2880.2020000000002</v>
      </c>
      <c r="CA9">
        <f>2523.428</f>
        <v>2523.4279999999999</v>
      </c>
      <c r="CB9">
        <f>2725.13</f>
        <v>2725.13</v>
      </c>
      <c r="CC9">
        <f>359.589</f>
        <v>359.589</v>
      </c>
      <c r="CD9">
        <f>2900.532</f>
        <v>2900.5320000000002</v>
      </c>
      <c r="CE9">
        <f>1878.217</f>
        <v>1878.2170000000001</v>
      </c>
      <c r="CF9">
        <f>1112.455</f>
        <v>1112.4549999999999</v>
      </c>
      <c r="CG9">
        <f>1409.238</f>
        <v>1409.2380000000001</v>
      </c>
      <c r="CH9">
        <f>2150.01</f>
        <v>2150.0100000000002</v>
      </c>
      <c r="CI9">
        <f>2281.646</f>
        <v>2281.6460000000002</v>
      </c>
      <c r="CJ9">
        <f>1089.17</f>
        <v>1089.17</v>
      </c>
      <c r="CK9">
        <f>2029.66</f>
        <v>2029.66</v>
      </c>
      <c r="CL9">
        <f>1303.156</f>
        <v>1303.1559999999999</v>
      </c>
      <c r="CM9">
        <f>1575.312</f>
        <v>1575.3119999999999</v>
      </c>
      <c r="CN9">
        <f>4069.371</f>
        <v>4069.3710000000001</v>
      </c>
      <c r="CO9">
        <f>1966.163</f>
        <v>1966.163</v>
      </c>
      <c r="CP9">
        <f>3916.907</f>
        <v>3916.9070000000002</v>
      </c>
      <c r="CQ9">
        <f>1623.493</f>
        <v>1623.4929999999999</v>
      </c>
      <c r="CR9">
        <f>1361.095</f>
        <v>1361.095</v>
      </c>
      <c r="CS9">
        <f>290.198</f>
        <v>290.19799999999998</v>
      </c>
      <c r="CT9">
        <f>474.519</f>
        <v>474.51900000000001</v>
      </c>
      <c r="CU9">
        <f>298.8</f>
        <v>298.8</v>
      </c>
      <c r="CV9">
        <f>232.534</f>
        <v>232.53399999999999</v>
      </c>
      <c r="CW9">
        <f>57.5</f>
        <v>57.5</v>
      </c>
      <c r="CX9">
        <f>195.709</f>
        <v>195.709</v>
      </c>
      <c r="CY9">
        <f>1169.937</f>
        <v>1169.9369999999999</v>
      </c>
      <c r="CZ9">
        <f>1838.43</f>
        <v>1838.43</v>
      </c>
      <c r="DA9">
        <f>1061.577</f>
        <v>1061.577</v>
      </c>
      <c r="DB9">
        <f>2330.689</f>
        <v>2330.6889999999999</v>
      </c>
      <c r="DC9">
        <f>1868.725</f>
        <v>1868.7249999999999</v>
      </c>
      <c r="DD9">
        <f>2322.966</f>
        <v>2322.9659999999999</v>
      </c>
      <c r="DE9">
        <f>5955.095</f>
        <v>5955.0950000000003</v>
      </c>
      <c r="DF9">
        <f>2811.429</f>
        <v>2811.4290000000001</v>
      </c>
      <c r="DG9">
        <f>2565.348</f>
        <v>2565.348</v>
      </c>
      <c r="DH9">
        <f>3066.607</f>
        <v>3066.607</v>
      </c>
      <c r="DI9">
        <f>3693.263</f>
        <v>3693.2629999999999</v>
      </c>
      <c r="DJ9">
        <f>2030.799</f>
        <v>2030.799</v>
      </c>
      <c r="DK9">
        <f>2273.82</f>
        <v>2273.8200000000002</v>
      </c>
      <c r="DL9">
        <f>3399.627</f>
        <v>3399.627</v>
      </c>
      <c r="DM9">
        <f>1417.151</f>
        <v>1417.1510000000001</v>
      </c>
      <c r="DN9">
        <f>2003.728</f>
        <v>2003.7280000000001</v>
      </c>
      <c r="DO9">
        <f>3671.43</f>
        <v>3671.43</v>
      </c>
      <c r="DP9">
        <f>1186.768</f>
        <v>1186.768</v>
      </c>
      <c r="DQ9">
        <f>715.271</f>
        <v>715.27099999999996</v>
      </c>
      <c r="DR9">
        <f>1847.087</f>
        <v>1847.087</v>
      </c>
      <c r="DS9">
        <f>189.021</f>
        <v>189.02099999999999</v>
      </c>
      <c r="DT9">
        <f>18.273</f>
        <v>18.273</v>
      </c>
      <c r="DU9">
        <f>370.9</f>
        <v>370.9</v>
      </c>
    </row>
    <row r="10" spans="1:125">
      <c r="A10" t="str">
        <f>"    办公楼房地产投资信托总处置"</f>
        <v xml:space="preserve">    办公楼房地产投资信托总处置</v>
      </c>
      <c r="B10" t="str">
        <f>"RECFDSOF Index"</f>
        <v>RECFDSOF Index</v>
      </c>
      <c r="E10" t="str">
        <f>"Expression"</f>
        <v>Expression</v>
      </c>
      <c r="F10">
        <f ca="1">IF(AND($B$29=1,LEN($F$32)&gt;0),$F$32*1000,HLOOKUP(INDIRECT(ADDRESS(2,COLUMN())),OFFSET($BN$2,0,0,ROW()-1,60),ROW()-1,FALSE))</f>
        <v>3481.201</v>
      </c>
      <c r="G10">
        <f ca="1">IF(AND($B$29=1,LEN($G$32)&gt;0),$G$32*1000,HLOOKUP(INDIRECT(ADDRESS(2,COLUMN())),OFFSET($BN$2,0,0,ROW()-1,60),ROW()-1,FALSE))</f>
        <v>2442.4810000000002</v>
      </c>
      <c r="H10">
        <f ca="1">IF(AND($B$29=1,LEN($H$32)&gt;0),$H$32*1000,HLOOKUP(INDIRECT(ADDRESS(2,COLUMN())),OFFSET($BN$2,0,0,ROW()-1,60),ROW()-1,FALSE))</f>
        <v>1791.797</v>
      </c>
      <c r="I10">
        <f ca="1">IF(AND($B$29=1,LEN($I$32)&gt;0),$I$32*1000,HLOOKUP(INDIRECT(ADDRESS(2,COLUMN())),OFFSET($BN$2,0,0,ROW()-1,60),ROW()-1,FALSE))</f>
        <v>1815.7739999999999</v>
      </c>
      <c r="J10">
        <f ca="1">IF(AND($B$29=1,LEN($J$32)&gt;0),$J$32*1000,HLOOKUP(INDIRECT(ADDRESS(2,COLUMN())),OFFSET($BN$2,0,0,ROW()-1,60),ROW()-1,FALSE))</f>
        <v>1359.627</v>
      </c>
      <c r="K10">
        <f ca="1">IF(AND($B$29=1,LEN($K$32)&gt;0),$K$32*1000,HLOOKUP(INDIRECT(ADDRESS(2,COLUMN())),OFFSET($BN$2,0,0,ROW()-1,60),ROW()-1,FALSE))</f>
        <v>5137.1899999999996</v>
      </c>
      <c r="L10">
        <f ca="1">IF(AND($B$29=1,LEN($L$32)&gt;0),$L$32*1000,HLOOKUP(INDIRECT(ADDRESS(2,COLUMN())),OFFSET($BN$2,0,0,ROW()-1,60),ROW()-1,FALSE))</f>
        <v>4196.3590000000004</v>
      </c>
      <c r="M10">
        <f ca="1">IF(AND($B$29=1,LEN($M$32)&gt;0),$M$32*1000,HLOOKUP(INDIRECT(ADDRESS(2,COLUMN())),OFFSET($BN$2,0,0,ROW()-1,60),ROW()-1,FALSE))</f>
        <v>4357.4139999999998</v>
      </c>
      <c r="N10">
        <f ca="1">IF(AND($B$29=1,LEN($N$32)&gt;0),$N$32*1000,HLOOKUP(INDIRECT(ADDRESS(2,COLUMN())),OFFSET($BN$2,0,0,ROW()-1,60),ROW()-1,FALSE))</f>
        <v>3327.2629999999999</v>
      </c>
      <c r="O10">
        <f ca="1">IF(AND($B$29=1,LEN($O$32)&gt;0),$O$32*1000,HLOOKUP(INDIRECT(ADDRESS(2,COLUMN())),OFFSET($BN$2,0,0,ROW()-1,60),ROW()-1,FALSE))</f>
        <v>3079.549</v>
      </c>
      <c r="P10">
        <f ca="1">IF(AND($B$29=1,LEN($P$32)&gt;0),$P$32*1000,HLOOKUP(INDIRECT(ADDRESS(2,COLUMN())),OFFSET($BN$2,0,0,ROW()-1,60),ROW()-1,FALSE))</f>
        <v>1945.999</v>
      </c>
      <c r="Q10">
        <f ca="1">IF(AND($B$29=1,LEN($Q$32)&gt;0),$Q$32*1000,HLOOKUP(INDIRECT(ADDRESS(2,COLUMN())),OFFSET($BN$2,0,0,ROW()-1,60),ROW()-1,FALSE))</f>
        <v>1094.021</v>
      </c>
      <c r="R10">
        <f ca="1">IF(AND($B$29=1,LEN($R$32)&gt;0),$R$32*1000,HLOOKUP(INDIRECT(ADDRESS(2,COLUMN())),OFFSET($BN$2,0,0,ROW()-1,60),ROW()-1,FALSE))</f>
        <v>6330.97</v>
      </c>
      <c r="S10">
        <f ca="1">IF(AND($B$29=1,LEN($S$32)&gt;0),$S$32*1000,HLOOKUP(INDIRECT(ADDRESS(2,COLUMN())),OFFSET($BN$2,0,0,ROW()-1,60),ROW()-1,FALSE))</f>
        <v>1727.183</v>
      </c>
      <c r="T10">
        <f ca="1">IF(AND($B$29=1,LEN($T$32)&gt;0),$T$32*1000,HLOOKUP(INDIRECT(ADDRESS(2,COLUMN())),OFFSET($BN$2,0,0,ROW()-1,60),ROW()-1,FALSE))</f>
        <v>869.447</v>
      </c>
      <c r="U10">
        <f ca="1">IF(AND($B$29=1,LEN($U$32)&gt;0),$U$32*1000,HLOOKUP(INDIRECT(ADDRESS(2,COLUMN())),OFFSET($BN$2,0,0,ROW()-1,60),ROW()-1,FALSE))</f>
        <v>1262.499</v>
      </c>
      <c r="V10">
        <f ca="1">IF(AND($B$29=1,LEN($V$32)&gt;0),$V$32*1000,HLOOKUP(INDIRECT(ADDRESS(2,COLUMN())),OFFSET($BN$2,0,0,ROW()-1,60),ROW()-1,FALSE))</f>
        <v>2428.52</v>
      </c>
      <c r="W10">
        <f ca="1">IF(AND($B$29=1,LEN($W$32)&gt;0),$W$32*1000,HLOOKUP(INDIRECT(ADDRESS(2,COLUMN())),OFFSET($BN$2,0,0,ROW()-1,60),ROW()-1,FALSE))</f>
        <v>930.94399999999996</v>
      </c>
      <c r="X10">
        <f ca="1">IF(AND($B$29=1,LEN($X$32)&gt;0),$X$32*1000,HLOOKUP(INDIRECT(ADDRESS(2,COLUMN())),OFFSET($BN$2,0,0,ROW()-1,60),ROW()-1,FALSE))</f>
        <v>1352.7180000000001</v>
      </c>
      <c r="Y10">
        <f ca="1">IF(AND($B$29=1,LEN($Y$32)&gt;0),$Y$32*1000,HLOOKUP(INDIRECT(ADDRESS(2,COLUMN())),OFFSET($BN$2,0,0,ROW()-1,60),ROW()-1,FALSE))</f>
        <v>354.43200000000002</v>
      </c>
      <c r="Z10">
        <f ca="1">IF(AND($B$29=1,LEN($Z$32)&gt;0),$Z$32*1000,HLOOKUP(INDIRECT(ADDRESS(2,COLUMN())),OFFSET($BN$2,0,0,ROW()-1,60),ROW()-1,FALSE))</f>
        <v>1434.434</v>
      </c>
      <c r="AA10">
        <f ca="1">IF(AND($B$29=1,LEN($AA$32)&gt;0),$AA$32*1000,HLOOKUP(INDIRECT(ADDRESS(2,COLUMN())),OFFSET($BN$2,0,0,ROW()-1,60),ROW()-1,FALSE))</f>
        <v>1384.979</v>
      </c>
      <c r="AB10">
        <f ca="1">IF(AND($B$29=1,LEN($AB$32)&gt;0),$AB$32*1000,HLOOKUP(INDIRECT(ADDRESS(2,COLUMN())),OFFSET($BN$2,0,0,ROW()-1,60),ROW()-1,FALSE))</f>
        <v>1189.6189999999999</v>
      </c>
      <c r="AC10">
        <f ca="1">IF(AND($B$29=1,LEN($AC$32)&gt;0),$AC$32*1000,HLOOKUP(INDIRECT(ADDRESS(2,COLUMN())),OFFSET($BN$2,0,0,ROW()-1,60),ROW()-1,FALSE))</f>
        <v>987.58900000000006</v>
      </c>
      <c r="AD10">
        <f ca="1">IF(AND($B$29=1,LEN($AD$32)&gt;0),$AD$32*1000,HLOOKUP(INDIRECT(ADDRESS(2,COLUMN())),OFFSET($BN$2,0,0,ROW()-1,60),ROW()-1,FALSE))</f>
        <v>1485.605</v>
      </c>
      <c r="AE10">
        <f ca="1">IF(AND($B$29=1,LEN($AE$32)&gt;0),$AE$32*1000,HLOOKUP(INDIRECT(ADDRESS(2,COLUMN())),OFFSET($BN$2,0,0,ROW()-1,60),ROW()-1,FALSE))</f>
        <v>798.03200000000004</v>
      </c>
      <c r="AF10">
        <f ca="1">IF(AND($B$29=1,LEN($AF$32)&gt;0),$AF$32*1000,HLOOKUP(INDIRECT(ADDRESS(2,COLUMN())),OFFSET($BN$2,0,0,ROW()-1,60),ROW()-1,FALSE))</f>
        <v>872.09199999999998</v>
      </c>
      <c r="AG10">
        <f ca="1">IF(AND($B$29=1,LEN($AG$32)&gt;0),$AG$32*1000,HLOOKUP(INDIRECT(ADDRESS(2,COLUMN())),OFFSET($BN$2,0,0,ROW()-1,60),ROW()-1,FALSE))</f>
        <v>187.52699999999999</v>
      </c>
      <c r="AH10">
        <f ca="1">IF(AND($B$29=1,LEN($AH$32)&gt;0),$AH$32*1000,HLOOKUP(INDIRECT(ADDRESS(2,COLUMN())),OFFSET($BN$2,0,0,ROW()-1,60),ROW()-1,FALSE))</f>
        <v>786.36900000000003</v>
      </c>
      <c r="AI10">
        <f ca="1">IF(AND($B$29=1,LEN($AI$32)&gt;0),$AI$32*1000,HLOOKUP(INDIRECT(ADDRESS(2,COLUMN())),OFFSET($BN$2,0,0,ROW()-1,60),ROW()-1,FALSE))</f>
        <v>450.11</v>
      </c>
      <c r="AJ10">
        <f ca="1">IF(AND($B$29=1,LEN($AJ$32)&gt;0),$AJ$32*1000,HLOOKUP(INDIRECT(ADDRESS(2,COLUMN())),OFFSET($BN$2,0,0,ROW()-1,60),ROW()-1,FALSE))</f>
        <v>1556.8879999999999</v>
      </c>
      <c r="AK10">
        <f ca="1">IF(AND($B$29=1,LEN($AK$32)&gt;0),$AK$32*1000,HLOOKUP(INDIRECT(ADDRESS(2,COLUMN())),OFFSET($BN$2,0,0,ROW()-1,60),ROW()-1,FALSE))</f>
        <v>143.51</v>
      </c>
      <c r="AL10">
        <f ca="1">IF(AND($B$29=1,LEN($AL$32)&gt;0),$AL$32*1000,HLOOKUP(INDIRECT(ADDRESS(2,COLUMN())),OFFSET($BN$2,0,0,ROW()-1,60),ROW()-1,FALSE))</f>
        <v>320.61099999999999</v>
      </c>
      <c r="AM10">
        <f ca="1">IF(AND($B$29=1,LEN($AM$32)&gt;0),$AM$32*1000,HLOOKUP(INDIRECT(ADDRESS(2,COLUMN())),OFFSET($BN$2,0,0,ROW()-1,60),ROW()-1,FALSE))</f>
        <v>189.43199999999999</v>
      </c>
      <c r="AN10">
        <f ca="1">IF(AND($B$29=1,LEN($AN$32)&gt;0),$AN$32*1000,HLOOKUP(INDIRECT(ADDRESS(2,COLUMN())),OFFSET($BN$2,0,0,ROW()-1,60),ROW()-1,FALSE))</f>
        <v>432.613</v>
      </c>
      <c r="AO10">
        <f ca="1">IF(AND($B$29=1,LEN($AO$32)&gt;0),$AO$32*1000,HLOOKUP(INDIRECT(ADDRESS(2,COLUMN())),OFFSET($BN$2,0,0,ROW()-1,60),ROW()-1,FALSE))</f>
        <v>303.71600000000001</v>
      </c>
      <c r="AP10">
        <f ca="1">IF(AND($B$29=1,LEN($AP$32)&gt;0),$AP$32*1000,HLOOKUP(INDIRECT(ADDRESS(2,COLUMN())),OFFSET($BN$2,0,0,ROW()-1,60),ROW()-1,FALSE))</f>
        <v>920.08299999999997</v>
      </c>
      <c r="AQ10">
        <f ca="1">IF(AND($B$29=1,LEN($AQ$32)&gt;0),$AQ$32*1000,HLOOKUP(INDIRECT(ADDRESS(2,COLUMN())),OFFSET($BN$2,0,0,ROW()-1,60),ROW()-1,FALSE))</f>
        <v>243.37299999999999</v>
      </c>
      <c r="AR10">
        <f ca="1">IF(AND($B$29=1,LEN($AR$32)&gt;0),$AR$32*1000,HLOOKUP(INDIRECT(ADDRESS(2,COLUMN())),OFFSET($BN$2,0,0,ROW()-1,60),ROW()-1,FALSE))</f>
        <v>500.10500000000002</v>
      </c>
      <c r="AS10">
        <f ca="1">IF(AND($B$29=1,LEN($AS$32)&gt;0),$AS$32*1000,HLOOKUP(INDIRECT(ADDRESS(2,COLUMN())),OFFSET($BN$2,0,0,ROW()-1,60),ROW()-1,FALSE))</f>
        <v>502.1</v>
      </c>
      <c r="AT10">
        <f ca="1">IF(AND($B$29=1,LEN($AT$32)&gt;0),$AT$32*1000,HLOOKUP(INDIRECT(ADDRESS(2,COLUMN())),OFFSET($BN$2,0,0,ROW()-1,60),ROW()-1,FALSE))</f>
        <v>715.92399999999998</v>
      </c>
      <c r="AU10">
        <f ca="1">IF(AND($B$29=1,LEN($AU$32)&gt;0),$AU$32*1000,HLOOKUP(INDIRECT(ADDRESS(2,COLUMN())),OFFSET($BN$2,0,0,ROW()-1,60),ROW()-1,FALSE))</f>
        <v>956.36099999999999</v>
      </c>
      <c r="AV10">
        <f ca="1">IF(AND($B$29=1,LEN($AV$32)&gt;0),$AV$32*1000,HLOOKUP(INDIRECT(ADDRESS(2,COLUMN())),OFFSET($BN$2,0,0,ROW()-1,60),ROW()-1,FALSE))</f>
        <v>1111.5899999999999</v>
      </c>
      <c r="AW10">
        <f ca="1">IF(AND($B$29=1,LEN($AW$32)&gt;0),$AW$32*1000,HLOOKUP(INDIRECT(ADDRESS(2,COLUMN())),OFFSET($BN$2,0,0,ROW()-1,60),ROW()-1,FALSE))</f>
        <v>2574.1709999999998</v>
      </c>
      <c r="AX10">
        <f ca="1">IF(AND($B$29=1,LEN($AX$32)&gt;0),$AX$32*1000,HLOOKUP(INDIRECT(ADDRESS(2,COLUMN())),OFFSET($BN$2,0,0,ROW()-1,60),ROW()-1,FALSE))</f>
        <v>3407.8449999999998</v>
      </c>
      <c r="AY10">
        <f ca="1">IF(AND($B$29=1,LEN($AY$32)&gt;0),$AY$32*1000,HLOOKUP(INDIRECT(ADDRESS(2,COLUMN())),OFFSET($BN$2,0,0,ROW()-1,60),ROW()-1,FALSE))</f>
        <v>1112.4469999999999</v>
      </c>
      <c r="AZ10">
        <f ca="1">IF(AND($B$29=1,LEN($AZ$32)&gt;0),$AZ$32*1000,HLOOKUP(INDIRECT(ADDRESS(2,COLUMN())),OFFSET($BN$2,0,0,ROW()-1,60),ROW()-1,FALSE))</f>
        <v>2125.0790000000002</v>
      </c>
      <c r="BA10">
        <f ca="1">IF(AND($B$29=1,LEN($BA$32)&gt;0),$BA$32*1000,HLOOKUP(INDIRECT(ADDRESS(2,COLUMN())),OFFSET($BN$2,0,0,ROW()-1,60),ROW()-1,FALSE))</f>
        <v>918.721</v>
      </c>
      <c r="BB10">
        <f ca="1">IF(AND($B$29=1,LEN($BB$32)&gt;0),$BB$32*1000,HLOOKUP(INDIRECT(ADDRESS(2,COLUMN())),OFFSET($BN$2,0,0,ROW()-1,60),ROW()-1,FALSE))</f>
        <v>2911.5360000000001</v>
      </c>
      <c r="BC10">
        <f ca="1">IF(AND($B$29=1,LEN($BC$32)&gt;0),$BC$32*1000,HLOOKUP(INDIRECT(ADDRESS(2,COLUMN())),OFFSET($BN$2,0,0,ROW()-1,60),ROW()-1,FALSE))</f>
        <v>2049.7849999999999</v>
      </c>
      <c r="BD10">
        <f ca="1">IF(AND($B$29=1,LEN($BD$32)&gt;0),$BD$32*1000,HLOOKUP(INDIRECT(ADDRESS(2,COLUMN())),OFFSET($BN$2,0,0,ROW()-1,60),ROW()-1,FALSE))</f>
        <v>2292.0320000000002</v>
      </c>
      <c r="BE10">
        <f ca="1">IF(AND($B$29=1,LEN($BE$32)&gt;0),$BE$32*1000,HLOOKUP(INDIRECT(ADDRESS(2,COLUMN())),OFFSET($BN$2,0,0,ROW()-1,60),ROW()-1,FALSE))</f>
        <v>765.63499999999999</v>
      </c>
      <c r="BF10">
        <f ca="1">IF(AND($B$29=1,LEN($BF$32)&gt;0),$BF$32*1000,HLOOKUP(INDIRECT(ADDRESS(2,COLUMN())),OFFSET($BN$2,0,0,ROW()-1,60),ROW()-1,FALSE))</f>
        <v>1319.269</v>
      </c>
      <c r="BG10">
        <f ca="1">IF(AND($B$29=1,LEN($BG$32)&gt;0),$BG$32*1000,HLOOKUP(INDIRECT(ADDRESS(2,COLUMN())),OFFSET($BN$2,0,0,ROW()-1,60),ROW()-1,FALSE))</f>
        <v>681.99</v>
      </c>
      <c r="BH10">
        <f ca="1">IF(AND($B$29=1,LEN($BH$32)&gt;0),$BH$32*1000,HLOOKUP(INDIRECT(ADDRESS(2,COLUMN())),OFFSET($BN$2,0,0,ROW()-1,60),ROW()-1,FALSE))</f>
        <v>695.28599999999994</v>
      </c>
      <c r="BI10">
        <f ca="1">IF(AND($B$29=1,LEN($BI$32)&gt;0),$BI$32*1000,HLOOKUP(INDIRECT(ADDRESS(2,COLUMN())),OFFSET($BN$2,0,0,ROW()-1,60),ROW()-1,FALSE))</f>
        <v>404.26299999999998</v>
      </c>
      <c r="BJ10">
        <f ca="1">IF(AND($B$29=1,LEN($BJ$32)&gt;0),$BJ$32*1000,HLOOKUP(INDIRECT(ADDRESS(2,COLUMN())),OFFSET($BN$2,0,0,ROW()-1,60),ROW()-1,FALSE))</f>
        <v>569.375</v>
      </c>
      <c r="BK10">
        <f ca="1">IF(AND($B$29=1,LEN($BK$32)&gt;0),$BK$32*1000,HLOOKUP(INDIRECT(ADDRESS(2,COLUMN())),OFFSET($BN$2,0,0,ROW()-1,60),ROW()-1,FALSE))</f>
        <v>133.66200000000001</v>
      </c>
      <c r="BL10">
        <f ca="1">IF(AND($B$29=1,LEN($BL$32)&gt;0),$BL$32*1000,HLOOKUP(INDIRECT(ADDRESS(2,COLUMN())),OFFSET($BN$2,0,0,ROW()-1,60),ROW()-1,FALSE))</f>
        <v>31.085000000000001</v>
      </c>
      <c r="BM10">
        <f ca="1">IF(AND($B$29=1,LEN($BM$32)&gt;0),$BM$32*1000,HLOOKUP(INDIRECT(ADDRESS(2,COLUMN())),OFFSET($BN$2,0,0,ROW()-1,60),ROW()-1,FALSE))</f>
        <v>561.96699999999998</v>
      </c>
      <c r="BN10">
        <f>3481.201</f>
        <v>3481.201</v>
      </c>
      <c r="BO10">
        <f>2442.481</f>
        <v>2442.4810000000002</v>
      </c>
      <c r="BP10">
        <f>1791.797</f>
        <v>1791.797</v>
      </c>
      <c r="BQ10">
        <f>1815.774</f>
        <v>1815.7739999999999</v>
      </c>
      <c r="BR10">
        <f>1359.627</f>
        <v>1359.627</v>
      </c>
      <c r="BS10">
        <f>5137.19</f>
        <v>5137.1899999999996</v>
      </c>
      <c r="BT10">
        <f>4196.359</f>
        <v>4196.3590000000004</v>
      </c>
      <c r="BU10">
        <f>4357.414</f>
        <v>4357.4139999999998</v>
      </c>
      <c r="BV10">
        <f>3327.263</f>
        <v>3327.2629999999999</v>
      </c>
      <c r="BW10">
        <f>3079.549</f>
        <v>3079.549</v>
      </c>
      <c r="BX10">
        <f>1945.999</f>
        <v>1945.999</v>
      </c>
      <c r="BY10">
        <f>1094.021</f>
        <v>1094.021</v>
      </c>
      <c r="BZ10">
        <f>6330.97</f>
        <v>6330.97</v>
      </c>
      <c r="CA10">
        <f>1727.183</f>
        <v>1727.183</v>
      </c>
      <c r="CB10">
        <f>869.447</f>
        <v>869.447</v>
      </c>
      <c r="CC10">
        <f>1262.499</f>
        <v>1262.499</v>
      </c>
      <c r="CD10">
        <f>2428.52</f>
        <v>2428.52</v>
      </c>
      <c r="CE10">
        <f>930.944</f>
        <v>930.94399999999996</v>
      </c>
      <c r="CF10">
        <f>1352.718</f>
        <v>1352.7180000000001</v>
      </c>
      <c r="CG10">
        <f>354.432</f>
        <v>354.43200000000002</v>
      </c>
      <c r="CH10">
        <f>1434.434</f>
        <v>1434.434</v>
      </c>
      <c r="CI10">
        <f>1384.979</f>
        <v>1384.979</v>
      </c>
      <c r="CJ10">
        <f>1189.619</f>
        <v>1189.6189999999999</v>
      </c>
      <c r="CK10">
        <f>987.589</f>
        <v>987.58900000000006</v>
      </c>
      <c r="CL10">
        <f>1485.605</f>
        <v>1485.605</v>
      </c>
      <c r="CM10">
        <f>798.032</f>
        <v>798.03200000000004</v>
      </c>
      <c r="CN10">
        <f>872.092</f>
        <v>872.09199999999998</v>
      </c>
      <c r="CO10">
        <f>187.527</f>
        <v>187.52699999999999</v>
      </c>
      <c r="CP10">
        <f>786.369</f>
        <v>786.36900000000003</v>
      </c>
      <c r="CQ10">
        <f>450.11</f>
        <v>450.11</v>
      </c>
      <c r="CR10">
        <f>1556.888</f>
        <v>1556.8879999999999</v>
      </c>
      <c r="CS10">
        <f>143.51</f>
        <v>143.51</v>
      </c>
      <c r="CT10">
        <f>320.611</f>
        <v>320.61099999999999</v>
      </c>
      <c r="CU10">
        <f>189.432</f>
        <v>189.43199999999999</v>
      </c>
      <c r="CV10">
        <f>432.613</f>
        <v>432.613</v>
      </c>
      <c r="CW10">
        <f>303.716</f>
        <v>303.71600000000001</v>
      </c>
      <c r="CX10">
        <f>920.083</f>
        <v>920.08299999999997</v>
      </c>
      <c r="CY10">
        <f>243.373</f>
        <v>243.37299999999999</v>
      </c>
      <c r="CZ10">
        <f>500.105</f>
        <v>500.10500000000002</v>
      </c>
      <c r="DA10">
        <f>502.1</f>
        <v>502.1</v>
      </c>
      <c r="DB10">
        <f>715.924</f>
        <v>715.92399999999998</v>
      </c>
      <c r="DC10">
        <f>956.361</f>
        <v>956.36099999999999</v>
      </c>
      <c r="DD10">
        <f>1111.59</f>
        <v>1111.5899999999999</v>
      </c>
      <c r="DE10">
        <f>2574.171</f>
        <v>2574.1709999999998</v>
      </c>
      <c r="DF10">
        <f>3407.845</f>
        <v>3407.8449999999998</v>
      </c>
      <c r="DG10">
        <f>1112.447</f>
        <v>1112.4469999999999</v>
      </c>
      <c r="DH10">
        <f>2125.079</f>
        <v>2125.0790000000002</v>
      </c>
      <c r="DI10">
        <f>918.721</f>
        <v>918.721</v>
      </c>
      <c r="DJ10">
        <f>2911.536</f>
        <v>2911.5360000000001</v>
      </c>
      <c r="DK10">
        <f>2049.785</f>
        <v>2049.7849999999999</v>
      </c>
      <c r="DL10">
        <f>2292.032</f>
        <v>2292.0320000000002</v>
      </c>
      <c r="DM10">
        <f>765.635</f>
        <v>765.63499999999999</v>
      </c>
      <c r="DN10">
        <f>1319.269</f>
        <v>1319.269</v>
      </c>
      <c r="DO10">
        <f>681.99</f>
        <v>681.99</v>
      </c>
      <c r="DP10">
        <f>695.286</f>
        <v>695.28599999999994</v>
      </c>
      <c r="DQ10">
        <f>404.263</f>
        <v>404.26299999999998</v>
      </c>
      <c r="DR10">
        <f>569.375</f>
        <v>569.375</v>
      </c>
      <c r="DS10">
        <f>133.662</f>
        <v>133.66200000000001</v>
      </c>
      <c r="DT10">
        <f>31.085</f>
        <v>31.085000000000001</v>
      </c>
      <c r="DU10">
        <f>561.967</f>
        <v>561.96699999999998</v>
      </c>
    </row>
    <row r="11" spans="1:125">
      <c r="A11" t="str">
        <f>"    办公楼房地产投资信托净收购"</f>
        <v xml:space="preserve">    办公楼房地产投资信托净收购</v>
      </c>
      <c r="B11" t="str">
        <f>"RECFNAOF Index"</f>
        <v>RECFNAOF Index</v>
      </c>
      <c r="E11" t="str">
        <f>"Expression"</f>
        <v>Expression</v>
      </c>
      <c r="F11">
        <f ca="1">IF(AND($B$29=1,LEN($F$33)&gt;0),$F$33*1000,HLOOKUP(INDIRECT(ADDRESS(2,COLUMN())),OFFSET($BN$2,0,0,ROW()-1,60),ROW()-1,FALSE))</f>
        <v>-562.65599999999995</v>
      </c>
      <c r="G11">
        <f ca="1">IF(AND($B$29=1,LEN($G$33)&gt;0),$G$33*1000,HLOOKUP(INDIRECT(ADDRESS(2,COLUMN())),OFFSET($BN$2,0,0,ROW()-1,60),ROW()-1,FALSE))</f>
        <v>-1599.569</v>
      </c>
      <c r="H11">
        <f ca="1">IF(AND($B$29=1,LEN($H$33)&gt;0),$H$33*1000,HLOOKUP(INDIRECT(ADDRESS(2,COLUMN())),OFFSET($BN$2,0,0,ROW()-1,60),ROW()-1,FALSE))</f>
        <v>-332.60399999999998</v>
      </c>
      <c r="I11">
        <f ca="1">IF(AND($B$29=1,LEN($I$33)&gt;0),$I$33*1000,HLOOKUP(INDIRECT(ADDRESS(2,COLUMN())),OFFSET($BN$2,0,0,ROW()-1,60),ROW()-1,FALSE))</f>
        <v>-603.99300000000005</v>
      </c>
      <c r="J11">
        <f ca="1">IF(AND($B$29=1,LEN($J$33)&gt;0),$J$33*1000,HLOOKUP(INDIRECT(ADDRESS(2,COLUMN())),OFFSET($BN$2,0,0,ROW()-1,60),ROW()-1,FALSE))</f>
        <v>3692.4</v>
      </c>
      <c r="K11">
        <f ca="1">IF(AND($B$29=1,LEN($K$33)&gt;0),$K$33*1000,HLOOKUP(INDIRECT(ADDRESS(2,COLUMN())),OFFSET($BN$2,0,0,ROW()-1,60),ROW()-1,FALSE))</f>
        <v>-2847.4160000000002</v>
      </c>
      <c r="L11">
        <f ca="1">IF(AND($B$29=1,LEN($L$33)&gt;0),$L$33*1000,HLOOKUP(INDIRECT(ADDRESS(2,COLUMN())),OFFSET($BN$2,0,0,ROW()-1,60),ROW()-1,FALSE))</f>
        <v>-2307.0039999999999</v>
      </c>
      <c r="M11">
        <f ca="1">IF(AND($B$29=1,LEN($M$33)&gt;0),$M$33*1000,HLOOKUP(INDIRECT(ADDRESS(2,COLUMN())),OFFSET($BN$2,0,0,ROW()-1,60),ROW()-1,FALSE))</f>
        <v>-2713.1689999999999</v>
      </c>
      <c r="N11">
        <f ca="1">IF(AND($B$29=1,LEN($N$33)&gt;0),$N$33*1000,HLOOKUP(INDIRECT(ADDRESS(2,COLUMN())),OFFSET($BN$2,0,0,ROW()-1,60),ROW()-1,FALSE))</f>
        <v>757.84500000000003</v>
      </c>
      <c r="O11">
        <f ca="1">IF(AND($B$29=1,LEN($O$33)&gt;0),$O$33*1000,HLOOKUP(INDIRECT(ADDRESS(2,COLUMN())),OFFSET($BN$2,0,0,ROW()-1,60),ROW()-1,FALSE))</f>
        <v>1567.55</v>
      </c>
      <c r="P11">
        <f ca="1">IF(AND($B$29=1,LEN($P$33)&gt;0),$P$33*1000,HLOOKUP(INDIRECT(ADDRESS(2,COLUMN())),OFFSET($BN$2,0,0,ROW()-1,60),ROW()-1,FALSE))</f>
        <v>2873.547</v>
      </c>
      <c r="Q11">
        <f ca="1">IF(AND($B$29=1,LEN($Q$33)&gt;0),$Q$33*1000,HLOOKUP(INDIRECT(ADDRESS(2,COLUMN())),OFFSET($BN$2,0,0,ROW()-1,60),ROW()-1,FALSE))</f>
        <v>928.98099999999999</v>
      </c>
      <c r="R11">
        <f ca="1">IF(AND($B$29=1,LEN($R$33)&gt;0),$R$33*1000,HLOOKUP(INDIRECT(ADDRESS(2,COLUMN())),OFFSET($BN$2,0,0,ROW()-1,60),ROW()-1,FALSE))</f>
        <v>-3450.768</v>
      </c>
      <c r="S11">
        <f ca="1">IF(AND($B$29=1,LEN($S$33)&gt;0),$S$33*1000,HLOOKUP(INDIRECT(ADDRESS(2,COLUMN())),OFFSET($BN$2,0,0,ROW()-1,60),ROW()-1,FALSE))</f>
        <v>796.245</v>
      </c>
      <c r="T11">
        <f ca="1">IF(AND($B$29=1,LEN($T$33)&gt;0),$T$33*1000,HLOOKUP(INDIRECT(ADDRESS(2,COLUMN())),OFFSET($BN$2,0,0,ROW()-1,60),ROW()-1,FALSE))</f>
        <v>1855.683</v>
      </c>
      <c r="U11">
        <f ca="1">IF(AND($B$29=1,LEN($U$33)&gt;0),$U$33*1000,HLOOKUP(INDIRECT(ADDRESS(2,COLUMN())),OFFSET($BN$2,0,0,ROW()-1,60),ROW()-1,FALSE))</f>
        <v>-902.91</v>
      </c>
      <c r="V11">
        <f ca="1">IF(AND($B$29=1,LEN($V$33)&gt;0),$V$33*1000,HLOOKUP(INDIRECT(ADDRESS(2,COLUMN())),OFFSET($BN$2,0,0,ROW()-1,60),ROW()-1,FALSE))</f>
        <v>472.012</v>
      </c>
      <c r="W11">
        <f ca="1">IF(AND($B$29=1,LEN($W$33)&gt;0),$W$33*1000,HLOOKUP(INDIRECT(ADDRESS(2,COLUMN())),OFFSET($BN$2,0,0,ROW()-1,60),ROW()-1,FALSE))</f>
        <v>947.27300000000002</v>
      </c>
      <c r="X11">
        <f ca="1">IF(AND($B$29=1,LEN($X$33)&gt;0),$X$33*1000,HLOOKUP(INDIRECT(ADDRESS(2,COLUMN())),OFFSET($BN$2,0,0,ROW()-1,60),ROW()-1,FALSE))</f>
        <v>-240.26300000000001</v>
      </c>
      <c r="Y11">
        <f ca="1">IF(AND($B$29=1,LEN($Y$33)&gt;0),$Y$33*1000,HLOOKUP(INDIRECT(ADDRESS(2,COLUMN())),OFFSET($BN$2,0,0,ROW()-1,60),ROW()-1,FALSE))</f>
        <v>1054.806</v>
      </c>
      <c r="Z11">
        <f ca="1">IF(AND($B$29=1,LEN($Z$33)&gt;0),$Z$33*1000,HLOOKUP(INDIRECT(ADDRESS(2,COLUMN())),OFFSET($BN$2,0,0,ROW()-1,60),ROW()-1,FALSE))</f>
        <v>715.57600000000002</v>
      </c>
      <c r="AA11">
        <f ca="1">IF(AND($B$29=1,LEN($AA$33)&gt;0),$AA$33*1000,HLOOKUP(INDIRECT(ADDRESS(2,COLUMN())),OFFSET($BN$2,0,0,ROW()-1,60),ROW()-1,FALSE))</f>
        <v>896.66700000000003</v>
      </c>
      <c r="AB11">
        <f ca="1">IF(AND($B$29=1,LEN($AB$33)&gt;0),$AB$33*1000,HLOOKUP(INDIRECT(ADDRESS(2,COLUMN())),OFFSET($BN$2,0,0,ROW()-1,60),ROW()-1,FALSE))</f>
        <v>-100.449</v>
      </c>
      <c r="AC11">
        <f ca="1">IF(AND($B$29=1,LEN($AC$33)&gt;0),$AC$33*1000,HLOOKUP(INDIRECT(ADDRESS(2,COLUMN())),OFFSET($BN$2,0,0,ROW()-1,60),ROW()-1,FALSE))</f>
        <v>1042.0709999999999</v>
      </c>
      <c r="AD11">
        <f ca="1">IF(AND($B$29=1,LEN($AD$33)&gt;0),$AD$33*1000,HLOOKUP(INDIRECT(ADDRESS(2,COLUMN())),OFFSET($BN$2,0,0,ROW()-1,60),ROW()-1,FALSE))</f>
        <v>-182.44900000000001</v>
      </c>
      <c r="AE11">
        <f ca="1">IF(AND($B$29=1,LEN($AE$33)&gt;0),$AE$33*1000,HLOOKUP(INDIRECT(ADDRESS(2,COLUMN())),OFFSET($BN$2,0,0,ROW()-1,60),ROW()-1,FALSE))</f>
        <v>777.28</v>
      </c>
      <c r="AF11">
        <f ca="1">IF(AND($B$29=1,LEN($AF$33)&gt;0),$AF$33*1000,HLOOKUP(INDIRECT(ADDRESS(2,COLUMN())),OFFSET($BN$2,0,0,ROW()-1,60),ROW()-1,FALSE))</f>
        <v>3197.279</v>
      </c>
      <c r="AG11">
        <f ca="1">IF(AND($B$29=1,LEN($AG$33)&gt;0),$AG$33*1000,HLOOKUP(INDIRECT(ADDRESS(2,COLUMN())),OFFSET($BN$2,0,0,ROW()-1,60),ROW()-1,FALSE))</f>
        <v>1778.636</v>
      </c>
      <c r="AH11">
        <f ca="1">IF(AND($B$29=1,LEN($AH$33)&gt;0),$AH$33*1000,HLOOKUP(INDIRECT(ADDRESS(2,COLUMN())),OFFSET($BN$2,0,0,ROW()-1,60),ROW()-1,FALSE))</f>
        <v>3130.538</v>
      </c>
      <c r="AI11">
        <f ca="1">IF(AND($B$29=1,LEN($AI$33)&gt;0),$AI$33*1000,HLOOKUP(INDIRECT(ADDRESS(2,COLUMN())),OFFSET($BN$2,0,0,ROW()-1,60),ROW()-1,FALSE))</f>
        <v>1173.383</v>
      </c>
      <c r="AJ11">
        <f ca="1">IF(AND($B$29=1,LEN($AJ$33)&gt;0),$AJ$33*1000,HLOOKUP(INDIRECT(ADDRESS(2,COLUMN())),OFFSET($BN$2,0,0,ROW()-1,60),ROW()-1,FALSE))</f>
        <v>-195.79300000000001</v>
      </c>
      <c r="AK11">
        <f ca="1">IF(AND($B$29=1,LEN($AK$33)&gt;0),$AK$33*1000,HLOOKUP(INDIRECT(ADDRESS(2,COLUMN())),OFFSET($BN$2,0,0,ROW()-1,60),ROW()-1,FALSE))</f>
        <v>146.68799999999999</v>
      </c>
      <c r="AL11">
        <f ca="1">IF(AND($B$29=1,LEN($AL$33)&gt;0),$AL$33*1000,HLOOKUP(INDIRECT(ADDRESS(2,COLUMN())),OFFSET($BN$2,0,0,ROW()-1,60),ROW()-1,FALSE))</f>
        <v>153.90799999999999</v>
      </c>
      <c r="AM11">
        <f ca="1">IF(AND($B$29=1,LEN($AM$33)&gt;0),$AM$33*1000,HLOOKUP(INDIRECT(ADDRESS(2,COLUMN())),OFFSET($BN$2,0,0,ROW()-1,60),ROW()-1,FALSE))</f>
        <v>109.36799999999999</v>
      </c>
      <c r="AN11">
        <f ca="1">IF(AND($B$29=1,LEN($AN$33)&gt;0),$AN$33*1000,HLOOKUP(INDIRECT(ADDRESS(2,COLUMN())),OFFSET($BN$2,0,0,ROW()-1,60),ROW()-1,FALSE))</f>
        <v>-200.07900000000001</v>
      </c>
      <c r="AO11">
        <f ca="1">IF(AND($B$29=1,LEN($AO$33)&gt;0),$AO$33*1000,HLOOKUP(INDIRECT(ADDRESS(2,COLUMN())),OFFSET($BN$2,0,0,ROW()-1,60),ROW()-1,FALSE))</f>
        <v>-246.21600000000001</v>
      </c>
      <c r="AP11">
        <f ca="1">IF(AND($B$29=1,LEN($AP$33)&gt;0),$AP$33*1000,HLOOKUP(INDIRECT(ADDRESS(2,COLUMN())),OFFSET($BN$2,0,0,ROW()-1,60),ROW()-1,FALSE))</f>
        <v>-724.37400000000002</v>
      </c>
      <c r="AQ11">
        <f ca="1">IF(AND($B$29=1,LEN($AQ$33)&gt;0),$AQ$33*1000,HLOOKUP(INDIRECT(ADDRESS(2,COLUMN())),OFFSET($BN$2,0,0,ROW()-1,60),ROW()-1,FALSE))</f>
        <v>926.56399999999996</v>
      </c>
      <c r="AR11">
        <f ca="1">IF(AND($B$29=1,LEN($AR$33)&gt;0),$AR$33*1000,HLOOKUP(INDIRECT(ADDRESS(2,COLUMN())),OFFSET($BN$2,0,0,ROW()-1,60),ROW()-1,FALSE))</f>
        <v>1338.325</v>
      </c>
      <c r="AS11">
        <f ca="1">IF(AND($B$29=1,LEN($AS$33)&gt;0),$AS$33*1000,HLOOKUP(INDIRECT(ADDRESS(2,COLUMN())),OFFSET($BN$2,0,0,ROW()-1,60),ROW()-1,FALSE))</f>
        <v>559.47699999999998</v>
      </c>
      <c r="AT11">
        <f ca="1">IF(AND($B$29=1,LEN($AT$33)&gt;0),$AT$33*1000,HLOOKUP(INDIRECT(ADDRESS(2,COLUMN())),OFFSET($BN$2,0,0,ROW()-1,60),ROW()-1,FALSE))</f>
        <v>1614.7650000000001</v>
      </c>
      <c r="AU11">
        <f ca="1">IF(AND($B$29=1,LEN($AU$33)&gt;0),$AU$33*1000,HLOOKUP(INDIRECT(ADDRESS(2,COLUMN())),OFFSET($BN$2,0,0,ROW()-1,60),ROW()-1,FALSE))</f>
        <v>912.36400000000003</v>
      </c>
      <c r="AV11">
        <f ca="1">IF(AND($B$29=1,LEN($AV$33)&gt;0),$AV$33*1000,HLOOKUP(INDIRECT(ADDRESS(2,COLUMN())),OFFSET($BN$2,0,0,ROW()-1,60),ROW()-1,FALSE))</f>
        <v>1211.376</v>
      </c>
      <c r="AW11">
        <f ca="1">IF(AND($B$29=1,LEN($AW$33)&gt;0),$AW$33*1000,HLOOKUP(INDIRECT(ADDRESS(2,COLUMN())),OFFSET($BN$2,0,0,ROW()-1,60),ROW()-1,FALSE))</f>
        <v>3380.924</v>
      </c>
      <c r="AX11">
        <f ca="1">IF(AND($B$29=1,LEN($AX$33)&gt;0),$AX$33*1000,HLOOKUP(INDIRECT(ADDRESS(2,COLUMN())),OFFSET($BN$2,0,0,ROW()-1,60),ROW()-1,FALSE))</f>
        <v>-596.41600000000005</v>
      </c>
      <c r="AY11">
        <f ca="1">IF(AND($B$29=1,LEN($AY$33)&gt;0),$AY$33*1000,HLOOKUP(INDIRECT(ADDRESS(2,COLUMN())),OFFSET($BN$2,0,0,ROW()-1,60),ROW()-1,FALSE))</f>
        <v>1452.9010000000001</v>
      </c>
      <c r="AZ11">
        <f ca="1">IF(AND($B$29=1,LEN($AZ$33)&gt;0),$AZ$33*1000,HLOOKUP(INDIRECT(ADDRESS(2,COLUMN())),OFFSET($BN$2,0,0,ROW()-1,60),ROW()-1,FALSE))</f>
        <v>941.52800000000002</v>
      </c>
      <c r="BA11">
        <f ca="1">IF(AND($B$29=1,LEN($BA$33)&gt;0),$BA$33*1000,HLOOKUP(INDIRECT(ADDRESS(2,COLUMN())),OFFSET($BN$2,0,0,ROW()-1,60),ROW()-1,FALSE))</f>
        <v>2774.5419999999999</v>
      </c>
      <c r="BB11">
        <f ca="1">IF(AND($B$29=1,LEN($BB$33)&gt;0),$BB$33*1000,HLOOKUP(INDIRECT(ADDRESS(2,COLUMN())),OFFSET($BN$2,0,0,ROW()-1,60),ROW()-1,FALSE))</f>
        <v>-880.73699999999997</v>
      </c>
      <c r="BC11">
        <f ca="1">IF(AND($B$29=1,LEN($BC$33)&gt;0),$BC$33*1000,HLOOKUP(INDIRECT(ADDRESS(2,COLUMN())),OFFSET($BN$2,0,0,ROW()-1,60),ROW()-1,FALSE))</f>
        <v>224.035</v>
      </c>
      <c r="BD11">
        <f ca="1">IF(AND($B$29=1,LEN($BD$33)&gt;0),$BD$33*1000,HLOOKUP(INDIRECT(ADDRESS(2,COLUMN())),OFFSET($BN$2,0,0,ROW()-1,60),ROW()-1,FALSE))</f>
        <v>1107.595</v>
      </c>
      <c r="BE11">
        <f ca="1">IF(AND($B$29=1,LEN($BE$33)&gt;0),$BE$33*1000,HLOOKUP(INDIRECT(ADDRESS(2,COLUMN())),OFFSET($BN$2,0,0,ROW()-1,60),ROW()-1,FALSE))</f>
        <v>651.51700000000005</v>
      </c>
      <c r="BF11">
        <f ca="1">IF(AND($B$29=1,LEN($BF$33)&gt;0),$BF$33*1000,HLOOKUP(INDIRECT(ADDRESS(2,COLUMN())),OFFSET($BN$2,0,0,ROW()-1,60),ROW()-1,FALSE))</f>
        <v>684.45899999999995</v>
      </c>
      <c r="BG11">
        <f ca="1">IF(AND($B$29=1,LEN($BG$33)&gt;0),$BG$33*1000,HLOOKUP(INDIRECT(ADDRESS(2,COLUMN())),OFFSET($BN$2,0,0,ROW()-1,60),ROW()-1,FALSE))</f>
        <v>2989.44</v>
      </c>
      <c r="BH11">
        <f ca="1">IF(AND($B$29=1,LEN($BH$33)&gt;0),$BH$33*1000,HLOOKUP(INDIRECT(ADDRESS(2,COLUMN())),OFFSET($BN$2,0,0,ROW()-1,60),ROW()-1,FALSE))</f>
        <v>491.48200000000003</v>
      </c>
      <c r="BI11">
        <f ca="1">IF(AND($B$29=1,LEN($BI$33)&gt;0),$BI$33*1000,HLOOKUP(INDIRECT(ADDRESS(2,COLUMN())),OFFSET($BN$2,0,0,ROW()-1,60),ROW()-1,FALSE))</f>
        <v>311.00799999999998</v>
      </c>
      <c r="BJ11">
        <f ca="1">IF(AND($B$29=1,LEN($BJ$33)&gt;0),$BJ$33*1000,HLOOKUP(INDIRECT(ADDRESS(2,COLUMN())),OFFSET($BN$2,0,0,ROW()-1,60),ROW()-1,FALSE))</f>
        <v>1277.712</v>
      </c>
      <c r="BK11">
        <f ca="1">IF(AND($B$29=1,LEN($BK$33)&gt;0),$BK$33*1000,HLOOKUP(INDIRECT(ADDRESS(2,COLUMN())),OFFSET($BN$2,0,0,ROW()-1,60),ROW()-1,FALSE))</f>
        <v>55.359000000000002</v>
      </c>
      <c r="BL11">
        <f ca="1">IF(AND($B$29=1,LEN($BL$33)&gt;0),$BL$33*1000,HLOOKUP(INDIRECT(ADDRESS(2,COLUMN())),OFFSET($BN$2,0,0,ROW()-1,60),ROW()-1,FALSE))</f>
        <v>-12.811999999999999</v>
      </c>
      <c r="BM11">
        <f ca="1">IF(AND($B$29=1,LEN($BM$33)&gt;0),$BM$33*1000,HLOOKUP(INDIRECT(ADDRESS(2,COLUMN())),OFFSET($BN$2,0,0,ROW()-1,60),ROW()-1,FALSE))</f>
        <v>-191.06700000000001</v>
      </c>
      <c r="BN11">
        <f>-562.656</f>
        <v>-562.65599999999995</v>
      </c>
      <c r="BO11">
        <f>-1599.569</f>
        <v>-1599.569</v>
      </c>
      <c r="BP11">
        <f>-332.604</f>
        <v>-332.60399999999998</v>
      </c>
      <c r="BQ11">
        <f>-603.993</f>
        <v>-603.99300000000005</v>
      </c>
      <c r="BR11">
        <f>3692.4</f>
        <v>3692.4</v>
      </c>
      <c r="BS11">
        <f>-2847.416</f>
        <v>-2847.4160000000002</v>
      </c>
      <c r="BT11">
        <f>-2307.004</f>
        <v>-2307.0039999999999</v>
      </c>
      <c r="BU11">
        <f>-2713.169</f>
        <v>-2713.1689999999999</v>
      </c>
      <c r="BV11">
        <f>757.845</f>
        <v>757.84500000000003</v>
      </c>
      <c r="BW11">
        <f>1567.55</f>
        <v>1567.55</v>
      </c>
      <c r="BX11">
        <f>2873.547</f>
        <v>2873.547</v>
      </c>
      <c r="BY11">
        <f>928.981</f>
        <v>928.98099999999999</v>
      </c>
      <c r="BZ11">
        <f>-3450.768</f>
        <v>-3450.768</v>
      </c>
      <c r="CA11">
        <f>796.245</f>
        <v>796.245</v>
      </c>
      <c r="CB11">
        <f>1855.683</f>
        <v>1855.683</v>
      </c>
      <c r="CC11">
        <f>-902.91</f>
        <v>-902.91</v>
      </c>
      <c r="CD11">
        <f>472.012</f>
        <v>472.012</v>
      </c>
      <c r="CE11">
        <f>947.273</f>
        <v>947.27300000000002</v>
      </c>
      <c r="CF11">
        <f>-240.263</f>
        <v>-240.26300000000001</v>
      </c>
      <c r="CG11">
        <f>1054.806</f>
        <v>1054.806</v>
      </c>
      <c r="CH11">
        <f>715.576</f>
        <v>715.57600000000002</v>
      </c>
      <c r="CI11">
        <f>896.667</f>
        <v>896.66700000000003</v>
      </c>
      <c r="CJ11">
        <f>-100.449</f>
        <v>-100.449</v>
      </c>
      <c r="CK11">
        <f>1042.071</f>
        <v>1042.0709999999999</v>
      </c>
      <c r="CL11">
        <f>-182.449</f>
        <v>-182.44900000000001</v>
      </c>
      <c r="CM11">
        <f>777.28</f>
        <v>777.28</v>
      </c>
      <c r="CN11">
        <f>3197.279</f>
        <v>3197.279</v>
      </c>
      <c r="CO11">
        <f>1778.636</f>
        <v>1778.636</v>
      </c>
      <c r="CP11">
        <f>3130.538</f>
        <v>3130.538</v>
      </c>
      <c r="CQ11">
        <f>1173.383</f>
        <v>1173.383</v>
      </c>
      <c r="CR11">
        <f>-195.793</f>
        <v>-195.79300000000001</v>
      </c>
      <c r="CS11">
        <f>146.688</f>
        <v>146.68799999999999</v>
      </c>
      <c r="CT11">
        <f>153.908</f>
        <v>153.90799999999999</v>
      </c>
      <c r="CU11">
        <f>109.368</f>
        <v>109.36799999999999</v>
      </c>
      <c r="CV11">
        <f>-200.079</f>
        <v>-200.07900000000001</v>
      </c>
      <c r="CW11">
        <f>-246.216</f>
        <v>-246.21600000000001</v>
      </c>
      <c r="CX11">
        <f>-724.374</f>
        <v>-724.37400000000002</v>
      </c>
      <c r="CY11">
        <f>926.564</f>
        <v>926.56399999999996</v>
      </c>
      <c r="CZ11">
        <f>1338.325</f>
        <v>1338.325</v>
      </c>
      <c r="DA11">
        <f>559.477</f>
        <v>559.47699999999998</v>
      </c>
      <c r="DB11">
        <f>1614.765</f>
        <v>1614.7650000000001</v>
      </c>
      <c r="DC11">
        <f>912.364</f>
        <v>912.36400000000003</v>
      </c>
      <c r="DD11">
        <f>1211.376</f>
        <v>1211.376</v>
      </c>
      <c r="DE11">
        <f>3380.924</f>
        <v>3380.924</v>
      </c>
      <c r="DF11">
        <f>-596.416</f>
        <v>-596.41600000000005</v>
      </c>
      <c r="DG11">
        <f>1452.901</f>
        <v>1452.9010000000001</v>
      </c>
      <c r="DH11">
        <f>941.528</f>
        <v>941.52800000000002</v>
      </c>
      <c r="DI11">
        <f>2774.542</f>
        <v>2774.5419999999999</v>
      </c>
      <c r="DJ11">
        <f>-880.737</f>
        <v>-880.73699999999997</v>
      </c>
      <c r="DK11">
        <f>224.035</f>
        <v>224.035</v>
      </c>
      <c r="DL11">
        <f>1107.595</f>
        <v>1107.595</v>
      </c>
      <c r="DM11">
        <f>651.517</f>
        <v>651.51700000000005</v>
      </c>
      <c r="DN11">
        <f>684.459</f>
        <v>684.45899999999995</v>
      </c>
      <c r="DO11">
        <f>2989.44</f>
        <v>2989.44</v>
      </c>
      <c r="DP11">
        <f>491.482</f>
        <v>491.48200000000003</v>
      </c>
      <c r="DQ11">
        <f>311.008</f>
        <v>311.00799999999998</v>
      </c>
      <c r="DR11">
        <f>1277.712</f>
        <v>1277.712</v>
      </c>
      <c r="DS11">
        <f>55.359</f>
        <v>55.359000000000002</v>
      </c>
      <c r="DT11">
        <f>-12.812</f>
        <v>-12.811999999999999</v>
      </c>
      <c r="DU11">
        <f>-191.067</f>
        <v>-191.06700000000001</v>
      </c>
    </row>
    <row r="12" spans="1:125">
      <c r="A12" t="str">
        <f>"    办公物业房地产投资信托总开发渠道"</f>
        <v xml:space="preserve">    办公物业房地产投资信托总开发渠道</v>
      </c>
      <c r="B12" t="str">
        <f>"RECFDVOF Index"</f>
        <v>RECFDVOF Index</v>
      </c>
      <c r="C12" t="str">
        <f>"PR005"</f>
        <v>PR005</v>
      </c>
      <c r="D12" t="str">
        <f>"PX_LAST"</f>
        <v>PX_LAST</v>
      </c>
      <c r="E12" t="str">
        <f>"动态"</f>
        <v>动态</v>
      </c>
      <c r="F12">
        <f ca="1">IF(AND(ISNUMBER($F$39),$B$29=1),$F$39,HLOOKUP(INDIRECT(ADDRESS(2,COLUMN())),OFFSET($BN$2,0,0,ROW()-1,60),ROW()-1,FALSE))</f>
        <v>12031.406999999999</v>
      </c>
      <c r="G12">
        <f ca="1">IF(AND(ISNUMBER($G$39),$B$29=1),$G$39,HLOOKUP(INDIRECT(ADDRESS(2,COLUMN())),OFFSET($BN$2,0,0,ROW()-1,60),ROW()-1,FALSE))</f>
        <v>11582.31</v>
      </c>
      <c r="H12">
        <f ca="1">IF(AND(ISNUMBER($H$39),$B$29=1),$H$39,HLOOKUP(INDIRECT(ADDRESS(2,COLUMN())),OFFSET($BN$2,0,0,ROW()-1,60),ROW()-1,FALSE))</f>
        <v>11122.46</v>
      </c>
      <c r="I12">
        <f ca="1">IF(AND(ISNUMBER($I$39),$B$29=1),$I$39,HLOOKUP(INDIRECT(ADDRESS(2,COLUMN())),OFFSET($BN$2,0,0,ROW()-1,60),ROW()-1,FALSE))</f>
        <v>10850.764999999999</v>
      </c>
      <c r="J12">
        <f ca="1">IF(AND(ISNUMBER($J$39),$B$29=1),$J$39,HLOOKUP(INDIRECT(ADDRESS(2,COLUMN())),OFFSET($BN$2,0,0,ROW()-1,60),ROW()-1,FALSE))</f>
        <v>8728.15</v>
      </c>
      <c r="K12">
        <f ca="1">IF(AND(ISNUMBER($K$39),$B$29=1),$K$39,HLOOKUP(INDIRECT(ADDRESS(2,COLUMN())),OFFSET($BN$2,0,0,ROW()-1,60),ROW()-1,FALSE))</f>
        <v>7866.8379999999997</v>
      </c>
      <c r="L12">
        <f ca="1">IF(AND(ISNUMBER($L$39),$B$29=1),$L$39,HLOOKUP(INDIRECT(ADDRESS(2,COLUMN())),OFFSET($BN$2,0,0,ROW()-1,60),ROW()-1,FALSE))</f>
        <v>6932.9849999999997</v>
      </c>
      <c r="M12">
        <f ca="1">IF(AND(ISNUMBER($M$39),$B$29=1),$M$39,HLOOKUP(INDIRECT(ADDRESS(2,COLUMN())),OFFSET($BN$2,0,0,ROW()-1,60),ROW()-1,FALSE))</f>
        <v>7766.7020000000002</v>
      </c>
      <c r="N12">
        <f ca="1">IF(AND(ISNUMBER($N$39),$B$29=1),$N$39,HLOOKUP(INDIRECT(ADDRESS(2,COLUMN())),OFFSET($BN$2,0,0,ROW()-1,60),ROW()-1,FALSE))</f>
        <v>8234.2569999999996</v>
      </c>
      <c r="O12">
        <f ca="1">IF(AND(ISNUMBER($O$39),$B$29=1),$O$39,HLOOKUP(INDIRECT(ADDRESS(2,COLUMN())),OFFSET($BN$2,0,0,ROW()-1,60),ROW()-1,FALSE))</f>
        <v>9182.2139999999999</v>
      </c>
      <c r="P12">
        <f ca="1">IF(AND(ISNUMBER($P$39),$B$29=1),$P$39,HLOOKUP(INDIRECT(ADDRESS(2,COLUMN())),OFFSET($BN$2,0,0,ROW()-1,60),ROW()-1,FALSE))</f>
        <v>8892.6749999999993</v>
      </c>
      <c r="Q12">
        <f ca="1">IF(AND(ISNUMBER($Q$39),$B$29=1),$Q$39,HLOOKUP(INDIRECT(ADDRESS(2,COLUMN())),OFFSET($BN$2,0,0,ROW()-1,60),ROW()-1,FALSE))</f>
        <v>7309.7330000000002</v>
      </c>
      <c r="R12">
        <f ca="1">IF(AND(ISNUMBER($R$39),$B$29=1),$R$39,HLOOKUP(INDIRECT(ADDRESS(2,COLUMN())),OFFSET($BN$2,0,0,ROW()-1,60),ROW()-1,FALSE))</f>
        <v>7492.1419999999998</v>
      </c>
      <c r="S12">
        <f ca="1">IF(AND(ISNUMBER($S$39),$B$29=1),$S$39,HLOOKUP(INDIRECT(ADDRESS(2,COLUMN())),OFFSET($BN$2,0,0,ROW()-1,60),ROW()-1,FALSE))</f>
        <v>7346.7460000000001</v>
      </c>
      <c r="T12">
        <f ca="1">IF(AND(ISNUMBER($T$39),$B$29=1),$T$39,HLOOKUP(INDIRECT(ADDRESS(2,COLUMN())),OFFSET($BN$2,0,0,ROW()-1,60),ROW()-1,FALSE))</f>
        <v>8759.5149999999994</v>
      </c>
      <c r="U12">
        <f ca="1">IF(AND(ISNUMBER($U$39),$B$29=1),$U$39,HLOOKUP(INDIRECT(ADDRESS(2,COLUMN())),OFFSET($BN$2,0,0,ROW()-1,60),ROW()-1,FALSE))</f>
        <v>7233.9669999999996</v>
      </c>
      <c r="V12">
        <f ca="1">IF(AND(ISNUMBER($V$39),$B$29=1),$V$39,HLOOKUP(INDIRECT(ADDRESS(2,COLUMN())),OFFSET($BN$2,0,0,ROW()-1,60),ROW()-1,FALSE))</f>
        <v>6286.5690000000004</v>
      </c>
      <c r="W12">
        <f ca="1">IF(AND(ISNUMBER($W$39),$B$29=1),$W$39,HLOOKUP(INDIRECT(ADDRESS(2,COLUMN())),OFFSET($BN$2,0,0,ROW()-1,60),ROW()-1,FALSE))</f>
        <v>5283.4129999999996</v>
      </c>
      <c r="X12">
        <f ca="1">IF(AND(ISNUMBER($X$39),$B$29=1),$X$39,HLOOKUP(INDIRECT(ADDRESS(2,COLUMN())),OFFSET($BN$2,0,0,ROW()-1,60),ROW()-1,FALSE))</f>
        <v>5210.9430000000002</v>
      </c>
      <c r="Y12">
        <f ca="1">IF(AND(ISNUMBER($Y$39),$B$29=1),$Y$39,HLOOKUP(INDIRECT(ADDRESS(2,COLUMN())),OFFSET($BN$2,0,0,ROW()-1,60),ROW()-1,FALSE))</f>
        <v>4022.085</v>
      </c>
      <c r="Z12">
        <f ca="1">IF(AND(ISNUMBER($Z$39),$B$29=1),$Z$39,HLOOKUP(INDIRECT(ADDRESS(2,COLUMN())),OFFSET($BN$2,0,0,ROW()-1,60),ROW()-1,FALSE))</f>
        <v>4179.1170000000002</v>
      </c>
      <c r="AA12">
        <f ca="1">IF(AND(ISNUMBER($AA$39),$B$29=1),$AA$39,HLOOKUP(INDIRECT(ADDRESS(2,COLUMN())),OFFSET($BN$2,0,0,ROW()-1,60),ROW()-1,FALSE))</f>
        <v>2806.34</v>
      </c>
      <c r="AB12">
        <f ca="1">IF(AND(ISNUMBER($AB$39),$B$29=1),$AB$39,HLOOKUP(INDIRECT(ADDRESS(2,COLUMN())),OFFSET($BN$2,0,0,ROW()-1,60),ROW()-1,FALSE))</f>
        <v>2334.0239999999999</v>
      </c>
      <c r="AC12">
        <f ca="1">IF(AND(ISNUMBER($AC$39),$B$29=1),$AC$39,HLOOKUP(INDIRECT(ADDRESS(2,COLUMN())),OFFSET($BN$2,0,0,ROW()-1,60),ROW()-1,FALSE))</f>
        <v>2430.7260000000001</v>
      </c>
      <c r="AD12">
        <f ca="1">IF(AND(ISNUMBER($AD$39),$B$29=1),$AD$39,HLOOKUP(INDIRECT(ADDRESS(2,COLUMN())),OFFSET($BN$2,0,0,ROW()-1,60),ROW()-1,FALSE))</f>
        <v>2365.2620000000002</v>
      </c>
      <c r="AE12">
        <f ca="1">IF(AND(ISNUMBER($AE$39),$B$29=1),$AE$39,HLOOKUP(INDIRECT(ADDRESS(2,COLUMN())),OFFSET($BN$2,0,0,ROW()-1,60),ROW()-1,FALSE))</f>
        <v>2806.3310000000001</v>
      </c>
      <c r="AF12">
        <f ca="1">IF(AND(ISNUMBER($AF$39),$B$29=1),$AF$39,HLOOKUP(INDIRECT(ADDRESS(2,COLUMN())),OFFSET($BN$2,0,0,ROW()-1,60),ROW()-1,FALSE))</f>
        <v>3291.49</v>
      </c>
      <c r="AG12">
        <f ca="1">IF(AND(ISNUMBER($AG$39),$B$29=1),$AG$39,HLOOKUP(INDIRECT(ADDRESS(2,COLUMN())),OFFSET($BN$2,0,0,ROW()-1,60),ROW()-1,FALSE))</f>
        <v>2353.7359999999999</v>
      </c>
      <c r="AH12">
        <f ca="1">IF(AND(ISNUMBER($AH$39),$B$29=1),$AH$39,HLOOKUP(INDIRECT(ADDRESS(2,COLUMN())),OFFSET($BN$2,0,0,ROW()-1,60),ROW()-1,FALSE))</f>
        <v>2361.482</v>
      </c>
      <c r="AI12">
        <f ca="1">IF(AND(ISNUMBER($AI$39),$B$29=1),$AI$39,HLOOKUP(INDIRECT(ADDRESS(2,COLUMN())),OFFSET($BN$2,0,0,ROW()-1,60),ROW()-1,FALSE))</f>
        <v>2331.587</v>
      </c>
      <c r="AJ12">
        <f ca="1">IF(AND(ISNUMBER($AJ$39),$B$29=1),$AJ$39,HLOOKUP(INDIRECT(ADDRESS(2,COLUMN())),OFFSET($BN$2,0,0,ROW()-1,60),ROW()-1,FALSE))</f>
        <v>2171.9054999999998</v>
      </c>
      <c r="AK12">
        <f ca="1">IF(AND(ISNUMBER($AK$39),$B$29=1),$AK$39,HLOOKUP(INDIRECT(ADDRESS(2,COLUMN())),OFFSET($BN$2,0,0,ROW()-1,60),ROW()-1,FALSE))</f>
        <v>2208.6770000000001</v>
      </c>
      <c r="AL12">
        <f ca="1">IF(AND(ISNUMBER($AL$39),$B$29=1),$AL$39,HLOOKUP(INDIRECT(ADDRESS(2,COLUMN())),OFFSET($BN$2,0,0,ROW()-1,60),ROW()-1,FALSE))</f>
        <v>2008.88</v>
      </c>
      <c r="AM12">
        <f ca="1">IF(AND(ISNUMBER($AM$39),$B$29=1),$AM$39,HLOOKUP(INDIRECT(ADDRESS(2,COLUMN())),OFFSET($BN$2,0,0,ROW()-1,60),ROW()-1,FALSE))</f>
        <v>2117.6869999999999</v>
      </c>
      <c r="AN12">
        <f ca="1">IF(AND(ISNUMBER($AN$39),$B$29=1),$AN$39,HLOOKUP(INDIRECT(ADDRESS(2,COLUMN())),OFFSET($BN$2,0,0,ROW()-1,60),ROW()-1,FALSE))</f>
        <v>2355.221</v>
      </c>
      <c r="AO12">
        <f ca="1">IF(AND(ISNUMBER($AO$39),$B$29=1),$AO$39,HLOOKUP(INDIRECT(ADDRESS(2,COLUMN())),OFFSET($BN$2,0,0,ROW()-1,60),ROW()-1,FALSE))</f>
        <v>2526.8029999999999</v>
      </c>
      <c r="AP12">
        <f ca="1">IF(AND(ISNUMBER($AP$39),$B$29=1),$AP$39,HLOOKUP(INDIRECT(ADDRESS(2,COLUMN())),OFFSET($BN$2,0,0,ROW()-1,60),ROW()-1,FALSE))</f>
        <v>4334.5360000000001</v>
      </c>
      <c r="AQ12">
        <f ca="1">IF(AND(ISNUMBER($AQ$39),$B$29=1),$AQ$39,HLOOKUP(INDIRECT(ADDRESS(2,COLUMN())),OFFSET($BN$2,0,0,ROW()-1,60),ROW()-1,FALSE))</f>
        <v>5673.4719999999998</v>
      </c>
      <c r="AR12">
        <f ca="1">IF(AND(ISNUMBER($AR$39),$B$29=1),$AR$39,HLOOKUP(INDIRECT(ADDRESS(2,COLUMN())),OFFSET($BN$2,0,0,ROW()-1,60),ROW()-1,FALSE))</f>
        <v>5739.1239999999998</v>
      </c>
      <c r="AS12">
        <f ca="1">IF(AND(ISNUMBER($AS$39),$B$29=1),$AS$39,HLOOKUP(INDIRECT(ADDRESS(2,COLUMN())),OFFSET($BN$2,0,0,ROW()-1,60),ROW()-1,FALSE))</f>
        <v>5377.4260000000004</v>
      </c>
      <c r="AT12">
        <f ca="1">IF(AND(ISNUMBER($AT$39),$B$29=1),$AT$39,HLOOKUP(INDIRECT(ADDRESS(2,COLUMN())),OFFSET($BN$2,0,0,ROW()-1,60),ROW()-1,FALSE))</f>
        <v>5475.4769999999999</v>
      </c>
      <c r="AU12">
        <f ca="1">IF(AND(ISNUMBER($AU$39),$B$29=1),$AU$39,HLOOKUP(INDIRECT(ADDRESS(2,COLUMN())),OFFSET($BN$2,0,0,ROW()-1,60),ROW()-1,FALSE))</f>
        <v>5632.2709999999997</v>
      </c>
      <c r="AV12">
        <f ca="1">IF(AND(ISNUMBER($AV$39),$B$29=1),$AV$39,HLOOKUP(INDIRECT(ADDRESS(2,COLUMN())),OFFSET($BN$2,0,0,ROW()-1,60),ROW()-1,FALSE))</f>
        <v>3982.527</v>
      </c>
      <c r="AW12">
        <f ca="1">IF(AND(ISNUMBER($AW$39),$B$29=1),$AW$39,HLOOKUP(INDIRECT(ADDRESS(2,COLUMN())),OFFSET($BN$2,0,0,ROW()-1,60),ROW()-1,FALSE))</f>
        <v>4551.9539999999997</v>
      </c>
      <c r="AX12">
        <f ca="1">IF(AND(ISNUMBER($AX$39),$B$29=1),$AX$39,HLOOKUP(INDIRECT(ADDRESS(2,COLUMN())),OFFSET($BN$2,0,0,ROW()-1,60),ROW()-1,FALSE))</f>
        <v>5189.8599999999997</v>
      </c>
      <c r="AY12">
        <f ca="1">IF(AND(ISNUMBER($AY$39),$B$29=1),$AY$39,HLOOKUP(INDIRECT(ADDRESS(2,COLUMN())),OFFSET($BN$2,0,0,ROW()-1,60),ROW()-1,FALSE))</f>
        <v>3807.8879999999999</v>
      </c>
      <c r="AZ12">
        <f ca="1">IF(AND(ISNUMBER($AZ$39),$B$29=1),$AZ$39,HLOOKUP(INDIRECT(ADDRESS(2,COLUMN())),OFFSET($BN$2,0,0,ROW()-1,60),ROW()-1,FALSE))</f>
        <v>3571.9140000000002</v>
      </c>
      <c r="BA12">
        <f ca="1">IF(AND(ISNUMBER($BA$39),$B$29=1),$BA$39,HLOOKUP(INDIRECT(ADDRESS(2,COLUMN())),OFFSET($BN$2,0,0,ROW()-1,60),ROW()-1,FALSE))</f>
        <v>2863.027</v>
      </c>
      <c r="BB12">
        <f ca="1">IF(AND(ISNUMBER($BB$39),$B$29=1),$BB$39,HLOOKUP(INDIRECT(ADDRESS(2,COLUMN())),OFFSET($BN$2,0,0,ROW()-1,60),ROW()-1,FALSE))</f>
        <v>2882.38</v>
      </c>
      <c r="BC12">
        <f ca="1">IF(AND(ISNUMBER($BC$39),$B$29=1),$BC$39,HLOOKUP(INDIRECT(ADDRESS(2,COLUMN())),OFFSET($BN$2,0,0,ROW()-1,60),ROW()-1,FALSE))</f>
        <v>2410.009</v>
      </c>
      <c r="BD12">
        <f ca="1">IF(AND(ISNUMBER($BD$39),$B$29=1),$BD$39,HLOOKUP(INDIRECT(ADDRESS(2,COLUMN())),OFFSET($BN$2,0,0,ROW()-1,60),ROW()-1,FALSE))</f>
        <v>1616.5260000000001</v>
      </c>
      <c r="BE12">
        <f ca="1">IF(AND(ISNUMBER($BE$39),$B$29=1),$BE$39,HLOOKUP(INDIRECT(ADDRESS(2,COLUMN())),OFFSET($BN$2,0,0,ROW()-1,60),ROW()-1,FALSE))</f>
        <v>1334.5255</v>
      </c>
      <c r="BF12">
        <f ca="1">IF(AND(ISNUMBER($BF$39),$B$29=1),$BF$39,HLOOKUP(INDIRECT(ADDRESS(2,COLUMN())),OFFSET($BN$2,0,0,ROW()-1,60),ROW()-1,FALSE))</f>
        <v>1492.1980000000001</v>
      </c>
      <c r="BG12">
        <f ca="1">IF(AND(ISNUMBER($BG$39),$B$29=1),$BG$39,HLOOKUP(INDIRECT(ADDRESS(2,COLUMN())),OFFSET($BN$2,0,0,ROW()-1,60),ROW()-1,FALSE))</f>
        <v>1353.558</v>
      </c>
      <c r="BH12">
        <f ca="1">IF(AND(ISNUMBER($BH$39),$B$29=1),$BH$39,HLOOKUP(INDIRECT(ADDRESS(2,COLUMN())),OFFSET($BN$2,0,0,ROW()-1,60),ROW()-1,FALSE))</f>
        <v>1957.664</v>
      </c>
      <c r="BI12">
        <f ca="1">IF(AND(ISNUMBER($BI$39),$B$29=1),$BI$39,HLOOKUP(INDIRECT(ADDRESS(2,COLUMN())),OFFSET($BN$2,0,0,ROW()-1,60),ROW()-1,FALSE))</f>
        <v>1894.8689999999999</v>
      </c>
      <c r="BJ12">
        <f ca="1">IF(AND(ISNUMBER($BJ$39),$B$29=1),$BJ$39,HLOOKUP(INDIRECT(ADDRESS(2,COLUMN())),OFFSET($BN$2,0,0,ROW()-1,60),ROW()-1,FALSE))</f>
        <v>1587.941</v>
      </c>
      <c r="BK12">
        <f ca="1">IF(AND(ISNUMBER($BK$39),$B$29=1),$BK$39,HLOOKUP(INDIRECT(ADDRESS(2,COLUMN())),OFFSET($BN$2,0,0,ROW()-1,60),ROW()-1,FALSE))</f>
        <v>61.357999999999997</v>
      </c>
      <c r="BL12">
        <f ca="1">IF(AND(ISNUMBER($BL$39),$B$29=1),$BL$39,HLOOKUP(INDIRECT(ADDRESS(2,COLUMN())),OFFSET($BN$2,0,0,ROW()-1,60),ROW()-1,FALSE))</f>
        <v>34.85</v>
      </c>
      <c r="BM12">
        <f ca="1">IF(AND(ISNUMBER($BM$39),$B$29=1),$BM$39,HLOOKUP(INDIRECT(ADDRESS(2,COLUMN())),OFFSET($BN$2,0,0,ROW()-1,60),ROW()-1,FALSE))</f>
        <v>34.5</v>
      </c>
      <c r="BN12">
        <f>12031.407</f>
        <v>12031.406999999999</v>
      </c>
      <c r="BO12">
        <f>11582.31</f>
        <v>11582.31</v>
      </c>
      <c r="BP12">
        <f>11122.46</f>
        <v>11122.46</v>
      </c>
      <c r="BQ12">
        <f>10850.765</f>
        <v>10850.764999999999</v>
      </c>
      <c r="BR12">
        <f>8728.15</f>
        <v>8728.15</v>
      </c>
      <c r="BS12">
        <f>7866.838</f>
        <v>7866.8379999999997</v>
      </c>
      <c r="BT12">
        <f>6932.985</f>
        <v>6932.9849999999997</v>
      </c>
      <c r="BU12">
        <f>7766.702</f>
        <v>7766.7020000000002</v>
      </c>
      <c r="BV12">
        <f>8234.257</f>
        <v>8234.2569999999996</v>
      </c>
      <c r="BW12">
        <f>9182.214</f>
        <v>9182.2139999999999</v>
      </c>
      <c r="BX12">
        <f>8892.675</f>
        <v>8892.6749999999993</v>
      </c>
      <c r="BY12">
        <f>7309.733</f>
        <v>7309.7330000000002</v>
      </c>
      <c r="BZ12">
        <f>7492.142</f>
        <v>7492.1419999999998</v>
      </c>
      <c r="CA12">
        <f>7346.746</f>
        <v>7346.7460000000001</v>
      </c>
      <c r="CB12">
        <f>8759.515</f>
        <v>8759.5149999999994</v>
      </c>
      <c r="CC12">
        <f>7233.967</f>
        <v>7233.9669999999996</v>
      </c>
      <c r="CD12">
        <f>6286.569</f>
        <v>6286.5690000000004</v>
      </c>
      <c r="CE12">
        <f>5283.413</f>
        <v>5283.4129999999996</v>
      </c>
      <c r="CF12">
        <f>5210.943</f>
        <v>5210.9430000000002</v>
      </c>
      <c r="CG12">
        <f>4022.085</f>
        <v>4022.085</v>
      </c>
      <c r="CH12">
        <f>4179.117</f>
        <v>4179.1170000000002</v>
      </c>
      <c r="CI12">
        <f>2806.34</f>
        <v>2806.34</v>
      </c>
      <c r="CJ12">
        <f>2334.024</f>
        <v>2334.0239999999999</v>
      </c>
      <c r="CK12">
        <f>2430.726</f>
        <v>2430.7260000000001</v>
      </c>
      <c r="CL12">
        <f>2365.262</f>
        <v>2365.2620000000002</v>
      </c>
      <c r="CM12">
        <f>2806.331</f>
        <v>2806.3310000000001</v>
      </c>
      <c r="CN12">
        <f>3291.49</f>
        <v>3291.49</v>
      </c>
      <c r="CO12">
        <f>2353.736</f>
        <v>2353.7359999999999</v>
      </c>
      <c r="CP12">
        <f>2361.482</f>
        <v>2361.482</v>
      </c>
      <c r="CQ12">
        <f>2331.587</f>
        <v>2331.587</v>
      </c>
      <c r="CR12">
        <f>2171.9055</f>
        <v>2171.9054999999998</v>
      </c>
      <c r="CS12">
        <f>2208.677</f>
        <v>2208.6770000000001</v>
      </c>
      <c r="CT12">
        <f>2008.88</f>
        <v>2008.88</v>
      </c>
      <c r="CU12">
        <f>2117.687</f>
        <v>2117.6869999999999</v>
      </c>
      <c r="CV12">
        <f>2355.221</f>
        <v>2355.221</v>
      </c>
      <c r="CW12">
        <f>2526.803</f>
        <v>2526.8029999999999</v>
      </c>
      <c r="CX12">
        <f>4334.536</f>
        <v>4334.5360000000001</v>
      </c>
      <c r="CY12">
        <f>5673.472</f>
        <v>5673.4719999999998</v>
      </c>
      <c r="CZ12">
        <f>5739.124</f>
        <v>5739.1239999999998</v>
      </c>
      <c r="DA12">
        <f>5377.426</f>
        <v>5377.4260000000004</v>
      </c>
      <c r="DB12">
        <f>5475.477</f>
        <v>5475.4769999999999</v>
      </c>
      <c r="DC12">
        <f>5632.271</f>
        <v>5632.2709999999997</v>
      </c>
      <c r="DD12">
        <f>3982.527</f>
        <v>3982.527</v>
      </c>
      <c r="DE12">
        <f>4551.954</f>
        <v>4551.9539999999997</v>
      </c>
      <c r="DF12">
        <f>5189.86</f>
        <v>5189.8599999999997</v>
      </c>
      <c r="DG12">
        <f>3807.888</f>
        <v>3807.8879999999999</v>
      </c>
      <c r="DH12">
        <f>3571.914</f>
        <v>3571.9140000000002</v>
      </c>
      <c r="DI12">
        <f>2863.027</f>
        <v>2863.027</v>
      </c>
      <c r="DJ12">
        <f>2882.38</f>
        <v>2882.38</v>
      </c>
      <c r="DK12">
        <f>2410.009</f>
        <v>2410.009</v>
      </c>
      <c r="DL12">
        <f>1616.526</f>
        <v>1616.5260000000001</v>
      </c>
      <c r="DM12">
        <f>1334.5255</f>
        <v>1334.5255</v>
      </c>
      <c r="DN12">
        <f>1492.198</f>
        <v>1492.1980000000001</v>
      </c>
      <c r="DO12">
        <f>1353.558</f>
        <v>1353.558</v>
      </c>
      <c r="DP12">
        <f>1957.664</f>
        <v>1957.664</v>
      </c>
      <c r="DQ12">
        <f>1894.869</f>
        <v>1894.8689999999999</v>
      </c>
      <c r="DR12">
        <f>1587.941</f>
        <v>1587.941</v>
      </c>
      <c r="DS12">
        <f>61.358</f>
        <v>61.357999999999997</v>
      </c>
      <c r="DT12">
        <f>34.85</f>
        <v>34.85</v>
      </c>
      <c r="DU12">
        <f>34.5</f>
        <v>34.5</v>
      </c>
    </row>
    <row r="13" spans="1:125">
      <c r="A13" t="str">
        <f>""</f>
        <v/>
      </c>
      <c r="B13" t="str">
        <f>""</f>
        <v/>
      </c>
      <c r="E13" t="str">
        <f>"静态"</f>
        <v>静态</v>
      </c>
      <c r="F13" t="str">
        <f t="shared" ref="F13:AK13" ca="1" si="2">HLOOKUP(INDIRECT(ADDRESS(2,COLUMN())),OFFSET($BN$2,0,0,ROW()-1,60),ROW()-1,FALSE)</f>
        <v/>
      </c>
      <c r="G13" t="str">
        <f t="shared" ca="1" si="2"/>
        <v/>
      </c>
      <c r="H13" t="str">
        <f t="shared" ca="1" si="2"/>
        <v/>
      </c>
      <c r="I13" t="str">
        <f t="shared" ca="1" si="2"/>
        <v/>
      </c>
      <c r="J13" t="str">
        <f t="shared" ca="1" si="2"/>
        <v/>
      </c>
      <c r="K13" t="str">
        <f t="shared" ca="1" si="2"/>
        <v/>
      </c>
      <c r="L13" t="str">
        <f t="shared" ca="1" si="2"/>
        <v/>
      </c>
      <c r="M13" t="str">
        <f t="shared" ca="1" si="2"/>
        <v/>
      </c>
      <c r="N13" t="str">
        <f t="shared" ca="1" si="2"/>
        <v/>
      </c>
      <c r="O13" t="str">
        <f t="shared" ca="1" si="2"/>
        <v/>
      </c>
      <c r="P13" t="str">
        <f t="shared" ca="1" si="2"/>
        <v/>
      </c>
      <c r="Q13" t="str">
        <f t="shared" ca="1" si="2"/>
        <v/>
      </c>
      <c r="R13" t="str">
        <f t="shared" ca="1" si="2"/>
        <v/>
      </c>
      <c r="S13" t="str">
        <f t="shared" ca="1" si="2"/>
        <v/>
      </c>
      <c r="T13" t="str">
        <f t="shared" ca="1" si="2"/>
        <v/>
      </c>
      <c r="U13" t="str">
        <f t="shared" ca="1" si="2"/>
        <v/>
      </c>
      <c r="V13" t="str">
        <f t="shared" ca="1" si="2"/>
        <v/>
      </c>
      <c r="W13" t="str">
        <f t="shared" ca="1" si="2"/>
        <v/>
      </c>
      <c r="X13" t="str">
        <f t="shared" ca="1" si="2"/>
        <v/>
      </c>
      <c r="Y13" t="str">
        <f t="shared" ca="1" si="2"/>
        <v/>
      </c>
      <c r="Z13" t="str">
        <f t="shared" ca="1" si="2"/>
        <v/>
      </c>
      <c r="AA13" t="str">
        <f t="shared" ca="1" si="2"/>
        <v/>
      </c>
      <c r="AB13" t="str">
        <f t="shared" ca="1" si="2"/>
        <v/>
      </c>
      <c r="AC13" t="str">
        <f t="shared" ca="1" si="2"/>
        <v/>
      </c>
      <c r="AD13" t="str">
        <f t="shared" ca="1" si="2"/>
        <v/>
      </c>
      <c r="AE13" t="str">
        <f t="shared" ca="1" si="2"/>
        <v/>
      </c>
      <c r="AF13" t="str">
        <f t="shared" ca="1" si="2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ref="AL13:BM13" ca="1" si="3">HLOOKUP(INDIRECT(ADDRESS(2,COLUMN())),OFFSET($BN$2,0,0,ROW()-1,60),ROW()-1,FALSE)</f>
        <v/>
      </c>
      <c r="AM13" t="str">
        <f t="shared" ca="1" si="3"/>
        <v/>
      </c>
      <c r="AN13" t="str">
        <f t="shared" ca="1" si="3"/>
        <v/>
      </c>
      <c r="AO13" t="str">
        <f t="shared" ca="1" si="3"/>
        <v/>
      </c>
      <c r="AP13" t="str">
        <f t="shared" ca="1" si="3"/>
        <v/>
      </c>
      <c r="AQ13" t="str">
        <f t="shared" ca="1" si="3"/>
        <v/>
      </c>
      <c r="AR13" t="str">
        <f t="shared" ca="1" si="3"/>
        <v/>
      </c>
      <c r="AS13" t="str">
        <f t="shared" ca="1" si="3"/>
        <v/>
      </c>
      <c r="AT13" t="str">
        <f t="shared" ca="1" si="3"/>
        <v/>
      </c>
      <c r="AU13" t="str">
        <f t="shared" ca="1" si="3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  <c r="BE13" t="str">
        <f t="shared" ca="1" si="3"/>
        <v/>
      </c>
      <c r="BF13" t="str">
        <f t="shared" ca="1" si="3"/>
        <v/>
      </c>
      <c r="BG13" t="str">
        <f t="shared" ca="1" si="3"/>
        <v/>
      </c>
      <c r="BH13" t="str">
        <f t="shared" ca="1" si="3"/>
        <v/>
      </c>
      <c r="BI13" t="str">
        <f t="shared" ca="1" si="3"/>
        <v/>
      </c>
      <c r="BJ13" t="str">
        <f t="shared" ca="1" si="3"/>
        <v/>
      </c>
      <c r="BK13" t="str">
        <f t="shared" ca="1" si="3"/>
        <v/>
      </c>
      <c r="BL13" t="str">
        <f t="shared" ca="1" si="3"/>
        <v/>
      </c>
      <c r="BM13" t="str">
        <f t="shared" ca="1" si="3"/>
        <v/>
      </c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  <c r="BT13" t="str">
        <f>""</f>
        <v/>
      </c>
      <c r="BU13" t="str">
        <f>""</f>
        <v/>
      </c>
      <c r="BV13" t="str">
        <f>""</f>
        <v/>
      </c>
      <c r="BW13" t="str">
        <f>""</f>
        <v/>
      </c>
      <c r="BX13" t="str">
        <f>""</f>
        <v/>
      </c>
      <c r="BY13" t="str">
        <f>""</f>
        <v/>
      </c>
      <c r="BZ13" t="str">
        <f>""</f>
        <v/>
      </c>
      <c r="CA13" t="str">
        <f>""</f>
        <v/>
      </c>
      <c r="CB13" t="str">
        <f>""</f>
        <v/>
      </c>
      <c r="CC13" t="str">
        <f>""</f>
        <v/>
      </c>
      <c r="CD13" t="str">
        <f>""</f>
        <v/>
      </c>
      <c r="CE13" t="str">
        <f>""</f>
        <v/>
      </c>
      <c r="CF13" t="str">
        <f>""</f>
        <v/>
      </c>
      <c r="CG13" t="str">
        <f>""</f>
        <v/>
      </c>
      <c r="CH13" t="str">
        <f>""</f>
        <v/>
      </c>
      <c r="CI13" t="str">
        <f>""</f>
        <v/>
      </c>
      <c r="CJ13" t="str">
        <f>""</f>
        <v/>
      </c>
      <c r="CK13" t="str">
        <f>""</f>
        <v/>
      </c>
      <c r="CL13" t="str">
        <f>""</f>
        <v/>
      </c>
      <c r="CM13" t="str">
        <f>""</f>
        <v/>
      </c>
      <c r="CN13" t="str">
        <f>""</f>
        <v/>
      </c>
      <c r="CO13" t="str">
        <f>""</f>
        <v/>
      </c>
      <c r="CP13" t="str">
        <f>""</f>
        <v/>
      </c>
      <c r="CQ13" t="str">
        <f>""</f>
        <v/>
      </c>
      <c r="CR13" t="str">
        <f>""</f>
        <v/>
      </c>
      <c r="CS13" t="str">
        <f>""</f>
        <v/>
      </c>
      <c r="CT13" t="str">
        <f>""</f>
        <v/>
      </c>
      <c r="CU13" t="str">
        <f>""</f>
        <v/>
      </c>
      <c r="CV13" t="str">
        <f>""</f>
        <v/>
      </c>
      <c r="CW13" t="str">
        <f>""</f>
        <v/>
      </c>
      <c r="CX13" t="str">
        <f>""</f>
        <v/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</row>
    <row r="14" spans="1:125"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  <c r="BT14" t="str">
        <f>""</f>
        <v/>
      </c>
      <c r="BU14" t="str">
        <f>""</f>
        <v/>
      </c>
      <c r="BV14" t="str">
        <f>""</f>
        <v/>
      </c>
      <c r="BW14" t="str">
        <f>""</f>
        <v/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  <c r="CI14" t="str">
        <f>""</f>
        <v/>
      </c>
      <c r="CJ14" t="str">
        <f>""</f>
        <v/>
      </c>
      <c r="CK14" t="str">
        <f>""</f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</row>
    <row r="15" spans="1:125">
      <c r="BN15" t="str">
        <f>""</f>
        <v/>
      </c>
      <c r="BO15" t="str">
        <f>""</f>
        <v/>
      </c>
      <c r="BP15" t="str">
        <f>""</f>
        <v/>
      </c>
      <c r="BQ15" t="str">
        <f>""</f>
        <v/>
      </c>
      <c r="BR15" t="str">
        <f>""</f>
        <v/>
      </c>
      <c r="BS15" t="str">
        <f>""</f>
        <v/>
      </c>
      <c r="BT15" t="str">
        <f>""</f>
        <v/>
      </c>
      <c r="BU15" t="str">
        <f>""</f>
        <v/>
      </c>
      <c r="BV15" t="str">
        <f>""</f>
        <v/>
      </c>
      <c r="BW15" t="str">
        <f>""</f>
        <v/>
      </c>
      <c r="BX15" t="str">
        <f>""</f>
        <v/>
      </c>
      <c r="BY15" t="str">
        <f>""</f>
        <v/>
      </c>
      <c r="BZ15" t="str">
        <f>""</f>
        <v/>
      </c>
      <c r="CA15" t="str">
        <f>""</f>
        <v/>
      </c>
      <c r="CB15" t="str">
        <f>""</f>
        <v/>
      </c>
      <c r="CC15" t="str">
        <f>""</f>
        <v/>
      </c>
      <c r="CD15" t="str">
        <f>""</f>
        <v/>
      </c>
      <c r="CE15" t="str">
        <f>""</f>
        <v/>
      </c>
      <c r="CF15" t="str">
        <f>""</f>
        <v/>
      </c>
      <c r="CG15" t="str">
        <f>""</f>
        <v/>
      </c>
      <c r="CH15" t="str">
        <f>""</f>
        <v/>
      </c>
      <c r="CI15" t="str">
        <f>""</f>
        <v/>
      </c>
      <c r="CJ15" t="str">
        <f>""</f>
        <v/>
      </c>
      <c r="CK15" t="str">
        <f>""</f>
        <v/>
      </c>
      <c r="CL15" t="str">
        <f>""</f>
        <v/>
      </c>
      <c r="CM15" t="str">
        <f>""</f>
        <v/>
      </c>
      <c r="CN15" t="str">
        <f>""</f>
        <v/>
      </c>
      <c r="CO15" t="str">
        <f>""</f>
        <v/>
      </c>
      <c r="CP15" t="str">
        <f>""</f>
        <v/>
      </c>
      <c r="CQ15" t="str">
        <f>""</f>
        <v/>
      </c>
      <c r="CR15" t="str">
        <f>""</f>
        <v/>
      </c>
      <c r="CS15" t="str">
        <f>""</f>
        <v/>
      </c>
      <c r="CT15" t="str">
        <f>""</f>
        <v/>
      </c>
      <c r="CU15" t="str">
        <f>""</f>
        <v/>
      </c>
      <c r="CV15" t="str">
        <f>""</f>
        <v/>
      </c>
      <c r="CW15" t="str">
        <f>""</f>
        <v/>
      </c>
      <c r="CX15" t="str">
        <f>""</f>
        <v/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  <c r="BT16" t="str">
        <f>""</f>
        <v/>
      </c>
      <c r="BU16" t="str">
        <f>""</f>
        <v/>
      </c>
      <c r="BV16" t="str">
        <f>""</f>
        <v/>
      </c>
      <c r="BW16" t="str">
        <f>""</f>
        <v/>
      </c>
      <c r="BX16" t="str">
        <f>""</f>
        <v/>
      </c>
      <c r="BY16" t="str">
        <f>""</f>
        <v/>
      </c>
      <c r="BZ16" t="str">
        <f>""</f>
        <v/>
      </c>
      <c r="CA16" t="str">
        <f>""</f>
        <v/>
      </c>
      <c r="CB16" t="str">
        <f>""</f>
        <v/>
      </c>
      <c r="CC16" t="str">
        <f>""</f>
        <v/>
      </c>
      <c r="CD16" t="str">
        <f>""</f>
        <v/>
      </c>
      <c r="CE16" t="str">
        <f>""</f>
        <v/>
      </c>
      <c r="CF16" t="str">
        <f>""</f>
        <v/>
      </c>
      <c r="CG16" t="str">
        <f>""</f>
        <v/>
      </c>
      <c r="CH16" t="str">
        <f>""</f>
        <v/>
      </c>
      <c r="CI16" t="str">
        <f>""</f>
        <v/>
      </c>
      <c r="CJ16" t="str">
        <f>""</f>
        <v/>
      </c>
      <c r="CK16" t="str">
        <f>""</f>
        <v/>
      </c>
      <c r="CL16" t="str">
        <f>""</f>
        <v/>
      </c>
      <c r="CM16" t="str">
        <f>""</f>
        <v/>
      </c>
      <c r="CN16" t="str">
        <f>""</f>
        <v/>
      </c>
      <c r="CO16" t="str">
        <f>""</f>
        <v/>
      </c>
      <c r="CP16" t="str">
        <f>""</f>
        <v/>
      </c>
      <c r="CQ16" t="str">
        <f>""</f>
        <v/>
      </c>
      <c r="CR16" t="str">
        <f>""</f>
        <v/>
      </c>
      <c r="CS16" t="str">
        <f>""</f>
        <v/>
      </c>
      <c r="CT16" t="str">
        <f>""</f>
        <v/>
      </c>
      <c r="CU16" t="str">
        <f>""</f>
        <v/>
      </c>
      <c r="CV16" t="str">
        <f>""</f>
        <v/>
      </c>
      <c r="CW16" t="str">
        <f>""</f>
        <v/>
      </c>
      <c r="CX16" t="str">
        <f>""</f>
        <v/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</row>
    <row r="17" spans="1:125"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  <c r="BT17" t="str">
        <f>""</f>
        <v/>
      </c>
      <c r="BU17" t="str">
        <f>""</f>
        <v/>
      </c>
      <c r="BV17" t="str">
        <f>""</f>
        <v/>
      </c>
      <c r="BW17" t="str">
        <f>""</f>
        <v/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  <c r="CH17" t="str">
        <f>""</f>
        <v/>
      </c>
      <c r="CI17" t="str">
        <f>""</f>
        <v/>
      </c>
      <c r="CJ17" t="str">
        <f>""</f>
        <v/>
      </c>
      <c r="CK17" t="str">
        <f>""</f>
        <v/>
      </c>
      <c r="CL17" t="str">
        <f>""</f>
        <v/>
      </c>
      <c r="CM17" t="str">
        <f>""</f>
        <v/>
      </c>
      <c r="CN17" t="str">
        <f>""</f>
        <v/>
      </c>
      <c r="CO17" t="str">
        <f>""</f>
        <v/>
      </c>
      <c r="CP17" t="str">
        <f>""</f>
        <v/>
      </c>
      <c r="CQ17" t="str">
        <f>""</f>
        <v/>
      </c>
      <c r="CR17" t="str">
        <f>""</f>
        <v/>
      </c>
      <c r="CS17" t="str">
        <f>""</f>
        <v/>
      </c>
      <c r="CT17" t="str">
        <f>""</f>
        <v/>
      </c>
      <c r="CU17" t="str">
        <f>""</f>
        <v/>
      </c>
      <c r="CV17" t="str">
        <f>""</f>
        <v/>
      </c>
      <c r="CW17" t="str">
        <f>""</f>
        <v/>
      </c>
      <c r="CX17" t="str">
        <f>""</f>
        <v/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  <c r="BT18" t="str">
        <f>""</f>
        <v/>
      </c>
      <c r="BU18" t="str">
        <f>""</f>
        <v/>
      </c>
      <c r="BV18" t="str">
        <f>""</f>
        <v/>
      </c>
      <c r="BW18" t="str">
        <f>""</f>
        <v/>
      </c>
      <c r="BX18" t="str">
        <f>""</f>
        <v/>
      </c>
      <c r="BY18" t="str">
        <f>""</f>
        <v/>
      </c>
      <c r="BZ18" t="str">
        <f>""</f>
        <v/>
      </c>
      <c r="CA18" t="str">
        <f>""</f>
        <v/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  <c r="CH18" t="str">
        <f>""</f>
        <v/>
      </c>
      <c r="CI18" t="str">
        <f>""</f>
        <v/>
      </c>
      <c r="CJ18" t="str">
        <f>""</f>
        <v/>
      </c>
      <c r="CK18" t="str">
        <f>""</f>
        <v/>
      </c>
      <c r="CL18" t="str">
        <f>""</f>
        <v/>
      </c>
      <c r="CM18" t="str">
        <f>""</f>
        <v/>
      </c>
      <c r="CN18" t="str">
        <f>""</f>
        <v/>
      </c>
      <c r="CO18" t="str">
        <f>""</f>
        <v/>
      </c>
      <c r="CP18" t="str">
        <f>""</f>
        <v/>
      </c>
      <c r="CQ18" t="str">
        <f>""</f>
        <v/>
      </c>
      <c r="CR18" t="str">
        <f>""</f>
        <v/>
      </c>
      <c r="CS18" t="str">
        <f>""</f>
        <v/>
      </c>
      <c r="CT18" t="str">
        <f>""</f>
        <v/>
      </c>
      <c r="CU18" t="str">
        <f>""</f>
        <v/>
      </c>
      <c r="CV18" t="str">
        <f>""</f>
        <v/>
      </c>
      <c r="CW18" t="str">
        <f>""</f>
        <v/>
      </c>
      <c r="CX18" t="str">
        <f>""</f>
        <v/>
      </c>
      <c r="CY18" t="str">
        <f>""</f>
        <v/>
      </c>
      <c r="CZ18" t="str">
        <f>""</f>
        <v/>
      </c>
      <c r="DA18" t="str">
        <f>""</f>
        <v/>
      </c>
      <c r="DB18" t="str">
        <f>""</f>
        <v/>
      </c>
      <c r="DC18" t="str">
        <f>""</f>
        <v/>
      </c>
      <c r="DD18" t="str">
        <f>""</f>
        <v/>
      </c>
      <c r="DE18" t="str">
        <f>""</f>
        <v/>
      </c>
      <c r="DF18" t="str">
        <f>""</f>
        <v/>
      </c>
      <c r="DG18" t="str">
        <f>""</f>
        <v/>
      </c>
      <c r="DH18" t="str">
        <f>""</f>
        <v/>
      </c>
      <c r="DI18" t="str">
        <f>""</f>
        <v/>
      </c>
      <c r="DJ18" t="str">
        <f>""</f>
        <v/>
      </c>
      <c r="DK18" t="str">
        <f>""</f>
        <v/>
      </c>
      <c r="DL18" t="str">
        <f>""</f>
        <v/>
      </c>
      <c r="DM18" t="str">
        <f>""</f>
        <v/>
      </c>
      <c r="DN18" t="str">
        <f>""</f>
        <v/>
      </c>
      <c r="DO18" t="str">
        <f>""</f>
        <v/>
      </c>
      <c r="DP18" t="str">
        <f>""</f>
        <v/>
      </c>
      <c r="DQ18" t="str">
        <f>""</f>
        <v/>
      </c>
      <c r="DR18" t="str">
        <f>""</f>
        <v/>
      </c>
      <c r="DS18" t="str">
        <f>""</f>
        <v/>
      </c>
      <c r="DT18" t="str">
        <f>""</f>
        <v/>
      </c>
      <c r="DU18" t="str">
        <f>""</f>
        <v/>
      </c>
    </row>
    <row r="19" spans="1:125"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  <c r="BT20" t="str">
        <f>""</f>
        <v/>
      </c>
      <c r="BU20" t="str">
        <f>""</f>
        <v/>
      </c>
      <c r="BV20" t="str">
        <f>""</f>
        <v/>
      </c>
      <c r="BW20" t="str">
        <f>""</f>
        <v/>
      </c>
      <c r="BX20" t="str">
        <f>""</f>
        <v/>
      </c>
      <c r="BY20" t="str">
        <f>""</f>
        <v/>
      </c>
      <c r="BZ20" t="str">
        <f>""</f>
        <v/>
      </c>
      <c r="CA20" t="str">
        <f>""</f>
        <v/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  <c r="CI20" t="str">
        <f>""</f>
        <v/>
      </c>
      <c r="CJ20" t="str">
        <f>""</f>
        <v/>
      </c>
      <c r="CK20" t="str">
        <f>""</f>
        <v/>
      </c>
      <c r="CL20" t="str">
        <f>""</f>
        <v/>
      </c>
      <c r="CM20" t="str">
        <f>""</f>
        <v/>
      </c>
      <c r="CN20" t="str">
        <f>""</f>
        <v/>
      </c>
      <c r="CO20" t="str">
        <f>""</f>
        <v/>
      </c>
      <c r="CP20" t="str">
        <f>""</f>
        <v/>
      </c>
      <c r="CQ20" t="str">
        <f>""</f>
        <v/>
      </c>
      <c r="CR20" t="str">
        <f>""</f>
        <v/>
      </c>
      <c r="CS20" t="str">
        <f>""</f>
        <v/>
      </c>
      <c r="CT20" t="str">
        <f>""</f>
        <v/>
      </c>
      <c r="CU20" t="str">
        <f>""</f>
        <v/>
      </c>
      <c r="CV20" t="str">
        <f>""</f>
        <v/>
      </c>
      <c r="CW20" t="str">
        <f>""</f>
        <v/>
      </c>
      <c r="CX20" t="str">
        <f>""</f>
        <v/>
      </c>
      <c r="CY20" t="str">
        <f>""</f>
        <v/>
      </c>
      <c r="CZ20" t="str">
        <f>""</f>
        <v/>
      </c>
      <c r="DA20" t="str">
        <f>""</f>
        <v/>
      </c>
      <c r="DB20" t="str">
        <f>""</f>
        <v/>
      </c>
      <c r="DC20" t="str">
        <f>""</f>
        <v/>
      </c>
      <c r="DD20" t="str">
        <f>""</f>
        <v/>
      </c>
      <c r="DE20" t="str">
        <f>""</f>
        <v/>
      </c>
      <c r="DF20" t="str">
        <f>""</f>
        <v/>
      </c>
      <c r="DG20" t="str">
        <f>""</f>
        <v/>
      </c>
      <c r="DH20" t="str">
        <f>""</f>
        <v/>
      </c>
      <c r="DI20" t="str">
        <f>""</f>
        <v/>
      </c>
      <c r="DJ20" t="str">
        <f>""</f>
        <v/>
      </c>
      <c r="DK20" t="str">
        <f>""</f>
        <v/>
      </c>
      <c r="DL20" t="str">
        <f>""</f>
        <v/>
      </c>
      <c r="DM20" t="str">
        <f>""</f>
        <v/>
      </c>
      <c r="DN20" t="str">
        <f>""</f>
        <v/>
      </c>
      <c r="DO20" t="str">
        <f>""</f>
        <v/>
      </c>
      <c r="DP20" t="str">
        <f>""</f>
        <v/>
      </c>
      <c r="DQ20" t="str">
        <f>""</f>
        <v/>
      </c>
      <c r="DR20" t="str">
        <f>""</f>
        <v/>
      </c>
      <c r="DS20" t="str">
        <f>""</f>
        <v/>
      </c>
      <c r="DT20" t="str">
        <f>""</f>
        <v/>
      </c>
      <c r="DU20" t="str">
        <f>""</f>
        <v/>
      </c>
    </row>
    <row r="21" spans="1:125">
      <c r="A21" t="str">
        <f t="shared" ref="A21:AF21" si="4">"~~~~~~~~~~"</f>
        <v>~~~~~~~~~~</v>
      </c>
      <c r="B21" t="str">
        <f t="shared" si="4"/>
        <v>~~~~~~~~~~</v>
      </c>
      <c r="C21" t="str">
        <f t="shared" si="4"/>
        <v>~~~~~~~~~~</v>
      </c>
      <c r="D21" t="str">
        <f t="shared" si="4"/>
        <v>~~~~~~~~~~</v>
      </c>
      <c r="E21" t="str">
        <f t="shared" si="4"/>
        <v>~~~~~~~~~~</v>
      </c>
      <c r="F21" t="str">
        <f t="shared" si="4"/>
        <v>~~~~~~~~~~</v>
      </c>
      <c r="G21" t="str">
        <f t="shared" si="4"/>
        <v>~~~~~~~~~~</v>
      </c>
      <c r="H21" t="str">
        <f t="shared" si="4"/>
        <v>~~~~~~~~~~</v>
      </c>
      <c r="I21" t="str">
        <f t="shared" si="4"/>
        <v>~~~~~~~~~~</v>
      </c>
      <c r="J21" t="str">
        <f t="shared" si="4"/>
        <v>~~~~~~~~~~</v>
      </c>
      <c r="K21" t="str">
        <f t="shared" si="4"/>
        <v>~~~~~~~~~~</v>
      </c>
      <c r="L21" t="str">
        <f t="shared" si="4"/>
        <v>~~~~~~~~~~</v>
      </c>
      <c r="M21" t="str">
        <f t="shared" si="4"/>
        <v>~~~~~~~~~~</v>
      </c>
      <c r="N21" t="str">
        <f t="shared" si="4"/>
        <v>~~~~~~~~~~</v>
      </c>
      <c r="O21" t="str">
        <f t="shared" si="4"/>
        <v>~~~~~~~~~~</v>
      </c>
      <c r="P21" t="str">
        <f t="shared" si="4"/>
        <v>~~~~~~~~~~</v>
      </c>
      <c r="Q21" t="str">
        <f t="shared" si="4"/>
        <v>~~~~~~~~~~</v>
      </c>
      <c r="R21" t="str">
        <f t="shared" si="4"/>
        <v>~~~~~~~~~~</v>
      </c>
      <c r="S21" t="str">
        <f t="shared" si="4"/>
        <v>~~~~~~~~~~</v>
      </c>
      <c r="T21" t="str">
        <f t="shared" si="4"/>
        <v>~~~~~~~~~~</v>
      </c>
      <c r="U21" t="str">
        <f t="shared" si="4"/>
        <v>~~~~~~~~~~</v>
      </c>
      <c r="V21" t="str">
        <f t="shared" si="4"/>
        <v>~~~~~~~~~~</v>
      </c>
      <c r="W21" t="str">
        <f t="shared" si="4"/>
        <v>~~~~~~~~~~</v>
      </c>
      <c r="X21" t="str">
        <f t="shared" si="4"/>
        <v>~~~~~~~~~~</v>
      </c>
      <c r="Y21" t="str">
        <f t="shared" si="4"/>
        <v>~~~~~~~~~~</v>
      </c>
      <c r="Z21" t="str">
        <f t="shared" si="4"/>
        <v>~~~~~~~~~~</v>
      </c>
      <c r="AA21" t="str">
        <f t="shared" si="4"/>
        <v>~~~~~~~~~~</v>
      </c>
      <c r="AB21" t="str">
        <f t="shared" si="4"/>
        <v>~~~~~~~~~~</v>
      </c>
      <c r="AC21" t="str">
        <f t="shared" si="4"/>
        <v>~~~~~~~~~~</v>
      </c>
      <c r="AD21" t="str">
        <f t="shared" si="4"/>
        <v>~~~~~~~~~~</v>
      </c>
      <c r="AE21" t="str">
        <f t="shared" si="4"/>
        <v>~~~~~~~~~~</v>
      </c>
      <c r="AF21" t="str">
        <f t="shared" si="4"/>
        <v>~~~~~~~~~~</v>
      </c>
      <c r="AG21" t="str">
        <f t="shared" ref="AG21:BM21" si="5">"~~~~~~~~~~"</f>
        <v>~~~~~~~~~~</v>
      </c>
      <c r="AH21" t="str">
        <f t="shared" si="5"/>
        <v>~~~~~~~~~~</v>
      </c>
      <c r="AI21" t="str">
        <f t="shared" si="5"/>
        <v>~~~~~~~~~~</v>
      </c>
      <c r="AJ21" t="str">
        <f t="shared" si="5"/>
        <v>~~~~~~~~~~</v>
      </c>
      <c r="AK21" t="str">
        <f t="shared" si="5"/>
        <v>~~~~~~~~~~</v>
      </c>
      <c r="AL21" t="str">
        <f t="shared" si="5"/>
        <v>~~~~~~~~~~</v>
      </c>
      <c r="AM21" t="str">
        <f t="shared" si="5"/>
        <v>~~~~~~~~~~</v>
      </c>
      <c r="AN21" t="str">
        <f t="shared" si="5"/>
        <v>~~~~~~~~~~</v>
      </c>
      <c r="AO21" t="str">
        <f t="shared" si="5"/>
        <v>~~~~~~~~~~</v>
      </c>
      <c r="AP21" t="str">
        <f t="shared" si="5"/>
        <v>~~~~~~~~~~</v>
      </c>
      <c r="AQ21" t="str">
        <f t="shared" si="5"/>
        <v>~~~~~~~~~~</v>
      </c>
      <c r="AR21" t="str">
        <f t="shared" si="5"/>
        <v>~~~~~~~~~~</v>
      </c>
      <c r="AS21" t="str">
        <f t="shared" si="5"/>
        <v>~~~~~~~~~~</v>
      </c>
      <c r="AT21" t="str">
        <f t="shared" si="5"/>
        <v>~~~~~~~~~~</v>
      </c>
      <c r="AU21" t="str">
        <f t="shared" si="5"/>
        <v>~~~~~~~~~~</v>
      </c>
      <c r="AV21" t="str">
        <f t="shared" si="5"/>
        <v>~~~~~~~~~~</v>
      </c>
      <c r="AW21" t="str">
        <f t="shared" si="5"/>
        <v>~~~~~~~~~~</v>
      </c>
      <c r="AX21" t="str">
        <f t="shared" si="5"/>
        <v>~~~~~~~~~~</v>
      </c>
      <c r="AY21" t="str">
        <f t="shared" si="5"/>
        <v>~~~~~~~~~~</v>
      </c>
      <c r="AZ21" t="str">
        <f t="shared" si="5"/>
        <v>~~~~~~~~~~</v>
      </c>
      <c r="BA21" t="str">
        <f t="shared" si="5"/>
        <v>~~~~~~~~~~</v>
      </c>
      <c r="BB21" t="str">
        <f t="shared" si="5"/>
        <v>~~~~~~~~~~</v>
      </c>
      <c r="BC21" t="str">
        <f t="shared" si="5"/>
        <v>~~~~~~~~~~</v>
      </c>
      <c r="BD21" t="str">
        <f t="shared" si="5"/>
        <v>~~~~~~~~~~</v>
      </c>
      <c r="BE21" t="str">
        <f t="shared" si="5"/>
        <v>~~~~~~~~~~</v>
      </c>
      <c r="BF21" t="str">
        <f t="shared" si="5"/>
        <v>~~~~~~~~~~</v>
      </c>
      <c r="BG21" t="str">
        <f t="shared" si="5"/>
        <v>~~~~~~~~~~</v>
      </c>
      <c r="BH21" t="str">
        <f t="shared" si="5"/>
        <v>~~~~~~~~~~</v>
      </c>
      <c r="BI21" t="str">
        <f t="shared" si="5"/>
        <v>~~~~~~~~~~</v>
      </c>
      <c r="BJ21" t="str">
        <f t="shared" si="5"/>
        <v>~~~~~~~~~~</v>
      </c>
      <c r="BK21" t="str">
        <f t="shared" si="5"/>
        <v>~~~~~~~~~~</v>
      </c>
      <c r="BL21" t="str">
        <f t="shared" si="5"/>
        <v>~~~~~~~~~~</v>
      </c>
      <c r="BM21" t="str">
        <f t="shared" si="5"/>
        <v>~~~~~~~~~~</v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 t="str">
        <f>""</f>
        <v/>
      </c>
      <c r="CE21" t="str">
        <f>""</f>
        <v/>
      </c>
      <c r="CF21" t="str">
        <f>""</f>
        <v/>
      </c>
      <c r="CG21" t="str">
        <f>""</f>
        <v/>
      </c>
      <c r="CH21" t="str">
        <f>""</f>
        <v/>
      </c>
      <c r="CI21" t="str">
        <f>""</f>
        <v/>
      </c>
      <c r="CJ21" t="str">
        <f>""</f>
        <v/>
      </c>
      <c r="CK21" t="str">
        <f>""</f>
        <v/>
      </c>
      <c r="CL21" t="str">
        <f>""</f>
        <v/>
      </c>
      <c r="CM21" t="str">
        <f>""</f>
        <v/>
      </c>
      <c r="CN21" t="str">
        <f>""</f>
        <v/>
      </c>
      <c r="CO21" t="str">
        <f>""</f>
        <v/>
      </c>
      <c r="CP21" t="str">
        <f>""</f>
        <v/>
      </c>
      <c r="CQ21" t="str">
        <f>""</f>
        <v/>
      </c>
      <c r="CR21" t="str">
        <f>""</f>
        <v/>
      </c>
      <c r="CS21" t="str">
        <f>""</f>
        <v/>
      </c>
      <c r="CT21" t="str">
        <f>""</f>
        <v/>
      </c>
      <c r="CU21" t="str">
        <f>""</f>
        <v/>
      </c>
      <c r="CV21" t="str">
        <f>""</f>
        <v/>
      </c>
      <c r="CW21" t="str">
        <f>""</f>
        <v/>
      </c>
      <c r="CX21" t="str">
        <f>""</f>
        <v/>
      </c>
      <c r="CY21" t="str">
        <f>""</f>
        <v/>
      </c>
      <c r="CZ21" t="str">
        <f>""</f>
        <v/>
      </c>
      <c r="DA21" t="str">
        <f>""</f>
        <v/>
      </c>
      <c r="DB21" t="str">
        <f>""</f>
        <v/>
      </c>
      <c r="DC21" t="str">
        <f>""</f>
        <v/>
      </c>
      <c r="DD21" t="str">
        <f>""</f>
        <v/>
      </c>
      <c r="DE21" t="str">
        <f>""</f>
        <v/>
      </c>
      <c r="DF21" t="str">
        <f>""</f>
        <v/>
      </c>
      <c r="DG21" t="str">
        <f>""</f>
        <v/>
      </c>
      <c r="DH21" t="str">
        <f>""</f>
        <v/>
      </c>
      <c r="DI21" t="str">
        <f>""</f>
        <v/>
      </c>
      <c r="DJ21" t="str">
        <f>""</f>
        <v/>
      </c>
      <c r="DK21" t="str">
        <f>""</f>
        <v/>
      </c>
      <c r="DL21" t="str">
        <f>""</f>
        <v/>
      </c>
      <c r="DM21" t="str">
        <f>""</f>
        <v/>
      </c>
      <c r="DN21" t="str">
        <f>""</f>
        <v/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>
      <c r="A22" t="str">
        <f>"通过上面公式行而添加下列所有数据行以供参考之用。"</f>
        <v>通过上面公式行而添加下列所有数据行以供参考之用。</v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  <c r="CH22" t="str">
        <f>""</f>
        <v/>
      </c>
      <c r="CI22" t="str">
        <f>""</f>
        <v/>
      </c>
      <c r="CJ22" t="str">
        <f>""</f>
        <v/>
      </c>
      <c r="CK22" t="str">
        <f>""</f>
        <v/>
      </c>
      <c r="CL22" t="str">
        <f>""</f>
        <v/>
      </c>
      <c r="CM22" t="str">
        <f>""</f>
        <v/>
      </c>
      <c r="CN22" t="str">
        <f>""</f>
        <v/>
      </c>
      <c r="CO22" t="str">
        <f>""</f>
        <v/>
      </c>
      <c r="CP22" t="str">
        <f>""</f>
        <v/>
      </c>
      <c r="CQ22" t="str">
        <f>""</f>
        <v/>
      </c>
      <c r="CR22" t="str">
        <f>""</f>
        <v/>
      </c>
      <c r="CS22" t="str">
        <f>""</f>
        <v/>
      </c>
      <c r="CT22" t="str">
        <f>""</f>
        <v/>
      </c>
      <c r="CU22" t="str">
        <f>""</f>
        <v/>
      </c>
      <c r="CV22" t="str">
        <f>""</f>
        <v/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>
        <f>RTD("bloomberg.ccyreader", "", "#track", "DBG", "BIHITX", "1.0","RepeatHit")</f>
        <v>0</v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"货币"</f>
        <v>货币</v>
      </c>
      <c r="B24" t="str">
        <f>"USD"</f>
        <v>USD</v>
      </c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  <c r="CI24" t="str">
        <f>""</f>
        <v/>
      </c>
      <c r="CJ24" t="str">
        <f>""</f>
        <v/>
      </c>
      <c r="CK24" t="str">
        <f>""</f>
        <v/>
      </c>
      <c r="CL24" t="str">
        <f>""</f>
        <v/>
      </c>
      <c r="CM24" t="str">
        <f>""</f>
        <v/>
      </c>
      <c r="CN24" t="str">
        <f>""</f>
        <v/>
      </c>
      <c r="CO24" t="str">
        <f>""</f>
        <v/>
      </c>
      <c r="CP24" t="str">
        <f>""</f>
        <v/>
      </c>
      <c r="CQ24" t="str">
        <f>""</f>
        <v/>
      </c>
      <c r="CR24" t="str">
        <f>""</f>
        <v/>
      </c>
      <c r="CS24" t="str">
        <f>""</f>
        <v/>
      </c>
      <c r="CT24" t="str">
        <f>""</f>
        <v/>
      </c>
      <c r="CU24" t="str">
        <f>""</f>
        <v/>
      </c>
      <c r="CV24" t="str">
        <f>""</f>
        <v/>
      </c>
      <c r="CW24" t="str">
        <f>""</f>
        <v/>
      </c>
      <c r="CX24" t="str">
        <f>""</f>
        <v/>
      </c>
      <c r="CY24" t="str">
        <f>""</f>
        <v/>
      </c>
      <c r="CZ24" t="str">
        <f>""</f>
        <v/>
      </c>
      <c r="DA24" t="str">
        <f>""</f>
        <v/>
      </c>
      <c r="DB24" t="str">
        <f>""</f>
        <v/>
      </c>
      <c r="DC24" t="str">
        <f>""</f>
        <v/>
      </c>
      <c r="DD24" t="str">
        <f>""</f>
        <v/>
      </c>
      <c r="DE24" t="str">
        <f>""</f>
        <v/>
      </c>
      <c r="DF24" t="str">
        <f>""</f>
        <v/>
      </c>
      <c r="DG24" t="str">
        <f>""</f>
        <v/>
      </c>
      <c r="DH24" t="str">
        <f>""</f>
        <v/>
      </c>
      <c r="DI24" t="str">
        <f>""</f>
        <v/>
      </c>
      <c r="DJ24" t="str">
        <f>""</f>
        <v/>
      </c>
      <c r="DK24" t="str">
        <f>""</f>
        <v/>
      </c>
      <c r="DL24" t="str">
        <f>""</f>
        <v/>
      </c>
      <c r="DM24" t="str">
        <f>""</f>
        <v/>
      </c>
      <c r="DN24" t="str">
        <f>""</f>
        <v/>
      </c>
      <c r="DO24" t="str">
        <f>""</f>
        <v/>
      </c>
      <c r="DP24" t="str">
        <f>""</f>
        <v/>
      </c>
      <c r="DQ24" t="str">
        <f>""</f>
        <v/>
      </c>
      <c r="DR24" t="str">
        <f>""</f>
        <v/>
      </c>
      <c r="DS24" t="str">
        <f>""</f>
        <v/>
      </c>
      <c r="DT24" t="str">
        <f>""</f>
        <v/>
      </c>
      <c r="DU24" t="str">
        <f>""</f>
        <v/>
      </c>
    </row>
    <row r="25" spans="1:125">
      <c r="A25" t="str">
        <f>"周期"</f>
        <v>周期</v>
      </c>
      <c r="B25" t="str">
        <f>"CQ"</f>
        <v>CQ</v>
      </c>
      <c r="C25" t="str">
        <f>"AQ"</f>
        <v>AQ</v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 t="str">
        <f>""</f>
        <v/>
      </c>
      <c r="CT25" t="str">
        <f>""</f>
        <v/>
      </c>
      <c r="CU25" t="str">
        <f>""</f>
        <v/>
      </c>
      <c r="CV25" t="str">
        <f>""</f>
        <v/>
      </c>
      <c r="CW25" t="str">
        <f>""</f>
        <v/>
      </c>
      <c r="CX25" t="str">
        <f>""</f>
        <v/>
      </c>
      <c r="CY25" t="str">
        <f>""</f>
        <v/>
      </c>
      <c r="CZ25" t="str">
        <f>""</f>
        <v/>
      </c>
      <c r="DA25" t="str">
        <f>""</f>
        <v/>
      </c>
      <c r="DB25" t="str">
        <f>""</f>
        <v/>
      </c>
      <c r="DC25" t="str">
        <f>""</f>
        <v/>
      </c>
      <c r="DD25" t="str">
        <f>""</f>
        <v/>
      </c>
      <c r="DE25" t="str">
        <f>""</f>
        <v/>
      </c>
      <c r="DF25" t="str">
        <f>""</f>
        <v/>
      </c>
      <c r="DG25" t="str">
        <f>""</f>
        <v/>
      </c>
      <c r="DH25" t="str">
        <f>""</f>
        <v/>
      </c>
      <c r="DI25" t="str">
        <f>""</f>
        <v/>
      </c>
      <c r="DJ25" t="str">
        <f>""</f>
        <v/>
      </c>
      <c r="DK25" t="str">
        <f>""</f>
        <v/>
      </c>
      <c r="DL25" t="str">
        <f>""</f>
        <v/>
      </c>
      <c r="DM25" t="str">
        <f>""</f>
        <v/>
      </c>
      <c r="DN25" t="str">
        <f>""</f>
        <v/>
      </c>
      <c r="DO25" t="str">
        <f>""</f>
        <v/>
      </c>
      <c r="DP25" t="str">
        <f>""</f>
        <v/>
      </c>
      <c r="DQ25" t="str">
        <f>""</f>
        <v/>
      </c>
      <c r="DR25" t="str">
        <f>""</f>
        <v/>
      </c>
      <c r="DS25" t="str">
        <f>""</f>
        <v/>
      </c>
      <c r="DT25" t="str">
        <f>""</f>
        <v/>
      </c>
      <c r="DU25" t="str">
        <f>""</f>
        <v/>
      </c>
    </row>
    <row r="26" spans="1:125">
      <c r="A26" t="str">
        <f>"周期数"</f>
        <v>周期数</v>
      </c>
      <c r="B26">
        <f>60</f>
        <v>60</v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"起始日期"</f>
        <v>起始日期</v>
      </c>
      <c r="B27" t="str">
        <f>CONCATENATE("-",$B$26,$B$25)</f>
        <v>-60CQ</v>
      </c>
      <c r="C27" t="str">
        <f>CONCATENATE("-",$B$26,$C$25)</f>
        <v>-60AQ</v>
      </c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  <c r="BT27" t="str">
        <f>""</f>
        <v/>
      </c>
      <c r="BU27" t="str">
        <f>""</f>
        <v/>
      </c>
      <c r="BV27" t="str">
        <f>""</f>
        <v/>
      </c>
      <c r="BW27" t="str">
        <f>""</f>
        <v/>
      </c>
      <c r="BX27" t="str">
        <f>""</f>
        <v/>
      </c>
      <c r="BY27" t="str">
        <f>""</f>
        <v/>
      </c>
      <c r="BZ27" t="str">
        <f>""</f>
        <v/>
      </c>
      <c r="CA27" t="str">
        <f>""</f>
        <v/>
      </c>
      <c r="CB27" t="str">
        <f>""</f>
        <v/>
      </c>
      <c r="CC27" t="str">
        <f>""</f>
        <v/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  <c r="CI27" t="str">
        <f>""</f>
        <v/>
      </c>
      <c r="CJ27" t="str">
        <f>""</f>
        <v/>
      </c>
      <c r="CK27" t="str">
        <f>""</f>
        <v/>
      </c>
      <c r="CL27" t="str">
        <f>""</f>
        <v/>
      </c>
      <c r="CM27" t="str">
        <f>""</f>
        <v/>
      </c>
      <c r="CN27" t="str">
        <f>""</f>
        <v/>
      </c>
      <c r="CO27" t="str">
        <f>""</f>
        <v/>
      </c>
      <c r="CP27" t="str">
        <f>""</f>
        <v/>
      </c>
      <c r="CQ27" t="str">
        <f>""</f>
        <v/>
      </c>
      <c r="CR27" t="str">
        <f>""</f>
        <v/>
      </c>
      <c r="CS27" t="str">
        <f>""</f>
        <v/>
      </c>
      <c r="CT27" t="str">
        <f>""</f>
        <v/>
      </c>
      <c r="CU27" t="str">
        <f>""</f>
        <v/>
      </c>
      <c r="CV27" t="str">
        <f>""</f>
        <v/>
      </c>
      <c r="CW27" t="str">
        <f>""</f>
        <v/>
      </c>
      <c r="CX27" t="str">
        <f>""</f>
        <v/>
      </c>
      <c r="CY27" t="str">
        <f>""</f>
        <v/>
      </c>
      <c r="CZ27" t="str">
        <f>""</f>
        <v/>
      </c>
      <c r="DA27" t="str">
        <f>""</f>
        <v/>
      </c>
      <c r="DB27" t="str">
        <f>""</f>
        <v/>
      </c>
      <c r="DC27" t="str">
        <f>""</f>
        <v/>
      </c>
      <c r="DD27" t="str">
        <f>""</f>
        <v/>
      </c>
      <c r="DE27" t="str">
        <f>""</f>
        <v/>
      </c>
      <c r="DF27" t="str">
        <f>""</f>
        <v/>
      </c>
      <c r="DG27" t="str">
        <f>""</f>
        <v/>
      </c>
      <c r="DH27" t="str">
        <f>""</f>
        <v/>
      </c>
      <c r="DI27" t="str">
        <f>""</f>
        <v/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"End Date"</f>
        <v>End Date</v>
      </c>
      <c r="B28">
        <f ca="1">TODAY()</f>
        <v>43173</v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A29" t="str">
        <f>"HeaderStatus"</f>
        <v>HeaderStatus</v>
      </c>
      <c r="B29">
        <f ca="1">$B$59*$B$67</f>
        <v>4</v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B31" t="str">
        <f>"RECFTAOF Index"</f>
        <v>RECFTAOF Index</v>
      </c>
      <c r="C31" t="str">
        <f>"PR005"</f>
        <v>PR005</v>
      </c>
      <c r="D31" t="str">
        <f>"PX_LAST"</f>
        <v>PX_LAST</v>
      </c>
      <c r="E31" t="str">
        <f>"动态"</f>
        <v>动态</v>
      </c>
      <c r="F31" t="str">
        <f ca="1">BDH($B$31,$C$31,$B$27,$B$28,CONCATENATE("Per=",$B$25),"Dts=H","Dir=H",CONCATENATE("Points=",$B$26),"Sort=R","Days=A","Fill=B",CONCATENATE("FX=", $B$24) )</f>
        <v>#N/A Requesting Data...</v>
      </c>
      <c r="BN31" t="str">
        <f>""</f>
        <v/>
      </c>
      <c r="BO31" t="str">
        <f>""</f>
        <v/>
      </c>
      <c r="BP31" t="str">
        <f>""</f>
        <v/>
      </c>
      <c r="BQ31" t="str">
        <f>""</f>
        <v/>
      </c>
      <c r="BR31" t="str">
        <f>""</f>
        <v/>
      </c>
      <c r="BS31" t="str">
        <f>""</f>
        <v/>
      </c>
      <c r="BT31" t="str">
        <f>""</f>
        <v/>
      </c>
      <c r="BU31" t="str">
        <f>""</f>
        <v/>
      </c>
      <c r="BV31" t="str">
        <f>""</f>
        <v/>
      </c>
      <c r="BW31" t="str">
        <f>""</f>
        <v/>
      </c>
      <c r="BX31" t="str">
        <f>""</f>
        <v/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  <c r="CH31" t="str">
        <f>""</f>
        <v/>
      </c>
      <c r="CI31" t="str">
        <f>""</f>
        <v/>
      </c>
      <c r="CJ31" t="str">
        <f>""</f>
        <v/>
      </c>
      <c r="CK31" t="str">
        <f>""</f>
        <v/>
      </c>
      <c r="CL31" t="str">
        <f>""</f>
        <v/>
      </c>
      <c r="CM31" t="str">
        <f>""</f>
        <v/>
      </c>
      <c r="CN31" t="str">
        <f>""</f>
        <v/>
      </c>
      <c r="CO31" t="str">
        <f>""</f>
        <v/>
      </c>
      <c r="CP31" t="str">
        <f>""</f>
        <v/>
      </c>
      <c r="CQ31" t="str">
        <f>""</f>
        <v/>
      </c>
      <c r="CR31" t="str">
        <f>""</f>
        <v/>
      </c>
      <c r="CS31" t="str">
        <f>""</f>
        <v/>
      </c>
      <c r="CT31" t="str">
        <f>""</f>
        <v/>
      </c>
      <c r="CU31" t="str">
        <f>""</f>
        <v/>
      </c>
      <c r="CV31" t="str">
        <f>""</f>
        <v/>
      </c>
      <c r="CW31" t="str">
        <f>""</f>
        <v/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 t="str">
        <f>""</f>
        <v/>
      </c>
      <c r="DF31" t="str">
        <f>""</f>
        <v/>
      </c>
      <c r="DG31" t="str">
        <f>""</f>
        <v/>
      </c>
      <c r="DH31" t="str">
        <f>""</f>
        <v/>
      </c>
      <c r="DI31" t="str">
        <f>""</f>
        <v/>
      </c>
      <c r="DJ31" t="str">
        <f>""</f>
        <v/>
      </c>
      <c r="DK31" t="str">
        <f>""</f>
        <v/>
      </c>
      <c r="DL31" t="str">
        <f>""</f>
        <v/>
      </c>
      <c r="DM31" t="str">
        <f>""</f>
        <v/>
      </c>
      <c r="DN31" t="str">
        <f>""</f>
        <v/>
      </c>
      <c r="DO31" t="str">
        <f>""</f>
        <v/>
      </c>
      <c r="DP31" t="str">
        <f>""</f>
        <v/>
      </c>
      <c r="DQ31" t="str">
        <f>""</f>
        <v/>
      </c>
      <c r="DR31" t="str">
        <f>""</f>
        <v/>
      </c>
      <c r="DS31" t="str">
        <f>""</f>
        <v/>
      </c>
      <c r="DT31" t="str">
        <f>""</f>
        <v/>
      </c>
      <c r="DU31" t="str">
        <f>""</f>
        <v/>
      </c>
    </row>
    <row r="32" spans="1:125">
      <c r="B32" t="str">
        <f>"RECFDSOF Index"</f>
        <v>RECFDSOF Index</v>
      </c>
      <c r="C32" t="str">
        <f>"PR005"</f>
        <v>PR005</v>
      </c>
      <c r="D32" t="str">
        <f>"PX_LAST"</f>
        <v>PX_LAST</v>
      </c>
      <c r="E32" t="str">
        <f>"动态"</f>
        <v>动态</v>
      </c>
      <c r="F32" t="str">
        <f ca="1">BDH($B$32,$C$32,$B$27,$B$28,CONCATENATE("Per=",$B$25),"Dts=H","Dir=H",CONCATENATE("Points=",$B$26),"Sort=R","Days=A","Fill=B",CONCATENATE("FX=", $B$24) )</f>
        <v>#N/A Requesting Data...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B33" t="str">
        <f>"RECFNAOF Index"</f>
        <v>RECFNAOF Index</v>
      </c>
      <c r="C33" t="str">
        <f>"PR005"</f>
        <v>PR005</v>
      </c>
      <c r="D33" t="str">
        <f>"PX_LAST"</f>
        <v>PX_LAST</v>
      </c>
      <c r="E33" t="str">
        <f>"动态"</f>
        <v>动态</v>
      </c>
      <c r="F33" t="str">
        <f ca="1">BDH($B$33,$C$33,$B$27,$B$28,CONCATENATE("Per=",$B$25),"Dts=H","Dir=H",CONCATENATE("Points=",$B$26),"Sort=R","Days=A","Fill=B",CONCATENATE("FX=", $B$24) )</f>
        <v>#N/A Requesting Data...</v>
      </c>
      <c r="BN33" t="str">
        <f>""</f>
        <v/>
      </c>
      <c r="BO33" t="str">
        <f>""</f>
        <v/>
      </c>
      <c r="BP33" t="str">
        <f>""</f>
        <v/>
      </c>
      <c r="BQ33" t="str">
        <f>""</f>
        <v/>
      </c>
      <c r="BR33" t="str">
        <f>""</f>
        <v/>
      </c>
      <c r="BS33" t="str">
        <f>""</f>
        <v/>
      </c>
      <c r="BT33" t="str">
        <f>""</f>
        <v/>
      </c>
      <c r="BU33" t="str">
        <f>""</f>
        <v/>
      </c>
      <c r="BV33" t="str">
        <f>""</f>
        <v/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  <c r="CH33" t="str">
        <f>""</f>
        <v/>
      </c>
      <c r="CI33" t="str">
        <f>""</f>
        <v/>
      </c>
      <c r="CJ33" t="str">
        <f>""</f>
        <v/>
      </c>
      <c r="CK33" t="str">
        <f>""</f>
        <v/>
      </c>
      <c r="CL33" t="str">
        <f>""</f>
        <v/>
      </c>
      <c r="CM33" t="str">
        <f>""</f>
        <v/>
      </c>
      <c r="CN33" t="str">
        <f>""</f>
        <v/>
      </c>
      <c r="CO33" t="str">
        <f>""</f>
        <v/>
      </c>
      <c r="CP33" t="str">
        <f>""</f>
        <v/>
      </c>
      <c r="CQ33" t="str">
        <f>""</f>
        <v/>
      </c>
      <c r="CR33" t="str">
        <f>""</f>
        <v/>
      </c>
      <c r="CS33" t="str">
        <f>""</f>
        <v/>
      </c>
      <c r="CT33" t="str">
        <f>""</f>
        <v/>
      </c>
      <c r="CU33" t="str">
        <f>""</f>
        <v/>
      </c>
      <c r="CV33" t="str">
        <f>""</f>
        <v/>
      </c>
      <c r="CW33" t="str">
        <f>""</f>
        <v/>
      </c>
      <c r="CX33" t="str">
        <f>""</f>
        <v/>
      </c>
      <c r="CY33" t="str">
        <f>""</f>
        <v/>
      </c>
      <c r="CZ33" t="str">
        <f>""</f>
        <v/>
      </c>
      <c r="DA33" t="str">
        <f>""</f>
        <v/>
      </c>
      <c r="DB33" t="str">
        <f>""</f>
        <v/>
      </c>
      <c r="DC33" t="str">
        <f>""</f>
        <v/>
      </c>
      <c r="DD33" t="str">
        <f>""</f>
        <v/>
      </c>
      <c r="DE33" t="str">
        <f>""</f>
        <v/>
      </c>
      <c r="DF33" t="str">
        <f>""</f>
        <v/>
      </c>
      <c r="DG33" t="str">
        <f>""</f>
        <v/>
      </c>
      <c r="DH33" t="str">
        <f>""</f>
        <v/>
      </c>
      <c r="DI33" t="str">
        <f>""</f>
        <v/>
      </c>
      <c r="DJ33" t="str">
        <f>""</f>
        <v/>
      </c>
      <c r="DK33" t="str">
        <f>""</f>
        <v/>
      </c>
      <c r="DL33" t="str">
        <f>""</f>
        <v/>
      </c>
      <c r="DM33" t="str">
        <f>""</f>
        <v/>
      </c>
      <c r="DN33" t="str">
        <f>""</f>
        <v/>
      </c>
      <c r="DO33" t="str">
        <f>""</f>
        <v/>
      </c>
      <c r="DP33" t="str">
        <f>""</f>
        <v/>
      </c>
      <c r="DQ33" t="str">
        <f>""</f>
        <v/>
      </c>
      <c r="DR33" t="str">
        <f>""</f>
        <v/>
      </c>
      <c r="DS33" t="str">
        <f>""</f>
        <v/>
      </c>
      <c r="DT33" t="str">
        <f>""</f>
        <v/>
      </c>
      <c r="DU33" t="str">
        <f>""</f>
        <v/>
      </c>
    </row>
    <row r="34" spans="1:125">
      <c r="A34" t="str">
        <f>$A$4</f>
        <v xml:space="preserve">    办公楼房地产投资信托同店净营业利润增长</v>
      </c>
      <c r="B34" t="str">
        <f>$B$4</f>
        <v>RECFSSOF Index</v>
      </c>
      <c r="C34" t="str">
        <f>$C$4</f>
        <v>PR005</v>
      </c>
      <c r="D34" t="str">
        <f>$D$4</f>
        <v>PX_LAST</v>
      </c>
      <c r="E34" t="str">
        <f>$E$4</f>
        <v>动态</v>
      </c>
      <c r="F34" t="str">
        <f ca="1">BDH($B$4,$C$4,$B$27,$B$28,CONCATENATE("Per=",$B$25),"Dts=H","Dir=H",CONCATENATE("Points=",$B$26),"Sort=R","Days=A","Fill=B",CONCATENATE("FX=", $B$24) )</f>
        <v>#N/A Requesting Data...</v>
      </c>
      <c r="BN34" t="str">
        <f>""</f>
        <v/>
      </c>
      <c r="BO34" t="str">
        <f>""</f>
        <v/>
      </c>
      <c r="BP34" t="str">
        <f>""</f>
        <v/>
      </c>
      <c r="BQ34" t="str">
        <f>""</f>
        <v/>
      </c>
      <c r="BR34" t="str">
        <f>""</f>
        <v/>
      </c>
      <c r="BS34" t="str">
        <f>""</f>
        <v/>
      </c>
      <c r="BT34" t="str">
        <f>""</f>
        <v/>
      </c>
      <c r="BU34" t="str">
        <f>""</f>
        <v/>
      </c>
      <c r="BV34" t="str">
        <f>""</f>
        <v/>
      </c>
      <c r="BW34" t="str">
        <f>""</f>
        <v/>
      </c>
      <c r="BX34" t="str">
        <f>""</f>
        <v/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  <c r="CH34" t="str">
        <f>""</f>
        <v/>
      </c>
      <c r="CI34" t="str">
        <f>""</f>
        <v/>
      </c>
      <c r="CJ34" t="str">
        <f>""</f>
        <v/>
      </c>
      <c r="CK34" t="str">
        <f>""</f>
        <v/>
      </c>
      <c r="CL34" t="str">
        <f>""</f>
        <v/>
      </c>
      <c r="CM34" t="str">
        <f>""</f>
        <v/>
      </c>
      <c r="CN34" t="str">
        <f>""</f>
        <v/>
      </c>
      <c r="CO34" t="str">
        <f>""</f>
        <v/>
      </c>
      <c r="CP34" t="str">
        <f>""</f>
        <v/>
      </c>
      <c r="CQ34" t="str">
        <f>""</f>
        <v/>
      </c>
      <c r="CR34" t="str">
        <f>""</f>
        <v/>
      </c>
      <c r="CS34" t="str">
        <f>""</f>
        <v/>
      </c>
      <c r="CT34" t="str">
        <f>""</f>
        <v/>
      </c>
      <c r="CU34" t="str">
        <f>""</f>
        <v/>
      </c>
      <c r="CV34" t="str">
        <f>""</f>
        <v/>
      </c>
      <c r="CW34" t="str">
        <f>""</f>
        <v/>
      </c>
      <c r="CX34" t="str">
        <f>""</f>
        <v/>
      </c>
      <c r="CY34" t="str">
        <f>""</f>
        <v/>
      </c>
      <c r="CZ34" t="str">
        <f>""</f>
        <v/>
      </c>
      <c r="DA34" t="str">
        <f>""</f>
        <v/>
      </c>
      <c r="DB34" t="str">
        <f>""</f>
        <v/>
      </c>
      <c r="DC34" t="str">
        <f>""</f>
        <v/>
      </c>
      <c r="DD34" t="str">
        <f>""</f>
        <v/>
      </c>
      <c r="DE34" t="str">
        <f>""</f>
        <v/>
      </c>
      <c r="DF34" t="str">
        <f>""</f>
        <v/>
      </c>
      <c r="DG34" t="str">
        <f>""</f>
        <v/>
      </c>
      <c r="DH34" t="str">
        <f>""</f>
        <v/>
      </c>
      <c r="DI34" t="str">
        <f>""</f>
        <v/>
      </c>
      <c r="DJ34" t="str">
        <f>""</f>
        <v/>
      </c>
      <c r="DK34" t="str">
        <f>""</f>
        <v/>
      </c>
      <c r="DL34" t="str">
        <f>""</f>
        <v/>
      </c>
      <c r="DM34" t="str">
        <f>""</f>
        <v/>
      </c>
      <c r="DN34" t="str">
        <f>""</f>
        <v/>
      </c>
      <c r="DO34" t="str">
        <f>""</f>
        <v/>
      </c>
      <c r="DP34" t="str">
        <f>""</f>
        <v/>
      </c>
      <c r="DQ34" t="str">
        <f>""</f>
        <v/>
      </c>
      <c r="DR34" t="str">
        <f>""</f>
        <v/>
      </c>
      <c r="DS34" t="str">
        <f>""</f>
        <v/>
      </c>
      <c r="DT34" t="str">
        <f>""</f>
        <v/>
      </c>
      <c r="DU34" t="str">
        <f>""</f>
        <v/>
      </c>
    </row>
    <row r="35" spans="1:125">
      <c r="A35" t="str">
        <f>$A$5</f>
        <v xml:space="preserve">    办公楼房地产投资信托平均入住率</v>
      </c>
      <c r="B35" t="str">
        <f>$B$5</f>
        <v>RECFAVOF Index</v>
      </c>
      <c r="C35" t="str">
        <f>$C$5</f>
        <v>PR005</v>
      </c>
      <c r="D35" t="str">
        <f>$D$5</f>
        <v>PX_LAST</v>
      </c>
      <c r="E35" t="str">
        <f>$E$5</f>
        <v>动态</v>
      </c>
      <c r="F35" t="str">
        <f ca="1">BDH($B$5,$C$5,$B$27,$B$28,CONCATENATE("Per=",$B$25),"Dts=H","Dir=H",CONCATENATE("Points=",$B$26),"Sort=R","Days=A","Fill=B",CONCATENATE("FX=", $B$24) )</f>
        <v>#N/A Requesting Data...</v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$A$6</f>
        <v xml:space="preserve">    办公楼房地产投资信托总营运现金流</v>
      </c>
      <c r="B36" t="str">
        <f>$B$6</f>
        <v>RECFFOOF Index</v>
      </c>
      <c r="C36" t="str">
        <f>$C$6</f>
        <v>PR005</v>
      </c>
      <c r="D36" t="str">
        <f>$D$6</f>
        <v>PX_LAST</v>
      </c>
      <c r="E36" t="str">
        <f>$E$6</f>
        <v>动态</v>
      </c>
      <c r="F36" t="str">
        <f ca="1">BDH($B$6,$C$6,$B$27,$B$28,CONCATENATE("Per=",$B$25),"Dts=H","Dir=H",CONCATENATE("Points=",$B$26),"Sort=R","Days=A","Fill=B",CONCATENATE("FX=", $B$24) )</f>
        <v>#N/A Requesting Data...</v>
      </c>
      <c r="BN36" t="str">
        <f>""</f>
        <v/>
      </c>
      <c r="BO36" t="str">
        <f>""</f>
        <v/>
      </c>
      <c r="BP36" t="str">
        <f>""</f>
        <v/>
      </c>
      <c r="BQ36" t="str">
        <f>""</f>
        <v/>
      </c>
      <c r="BR36" t="str">
        <f>""</f>
        <v/>
      </c>
      <c r="BS36" t="str">
        <f>""</f>
        <v/>
      </c>
      <c r="BT36" t="str">
        <f>""</f>
        <v/>
      </c>
      <c r="BU36" t="str">
        <f>""</f>
        <v/>
      </c>
      <c r="BV36" t="str">
        <f>""</f>
        <v/>
      </c>
      <c r="BW36" t="str">
        <f>""</f>
        <v/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  <c r="CI36" t="str">
        <f>""</f>
        <v/>
      </c>
      <c r="CJ36" t="str">
        <f>""</f>
        <v/>
      </c>
      <c r="CK36" t="str">
        <f>""</f>
        <v/>
      </c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$A$7</f>
        <v xml:space="preserve">    办公楼房地产投资信托净营业利润</v>
      </c>
      <c r="B37" t="str">
        <f>$B$7</f>
        <v>RECFNOOF Index</v>
      </c>
      <c r="C37" t="str">
        <f>$C$7</f>
        <v>PR005</v>
      </c>
      <c r="D37" t="str">
        <f>$D$7</f>
        <v>PX_LAST</v>
      </c>
      <c r="E37" t="str">
        <f>$E$7</f>
        <v>动态</v>
      </c>
      <c r="F37" t="str">
        <f ca="1">BDH($B$7,$C$7,$B$27,$B$28,CONCATENATE("Per=",$B$25),"Dts=H","Dir=H",CONCATENATE("Points=",$B$26),"Sort=R","Days=A","Fill=B",CONCATENATE("FX=", $B$24) )</f>
        <v>#N/A Requesting Data...</v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  <c r="CH37" t="str">
        <f>""</f>
        <v/>
      </c>
      <c r="CI37" t="str">
        <f>""</f>
        <v/>
      </c>
      <c r="CJ37" t="str">
        <f>""</f>
        <v/>
      </c>
      <c r="CK37" t="str">
        <f>""</f>
        <v/>
      </c>
      <c r="CL37" t="str">
        <f>""</f>
        <v/>
      </c>
      <c r="CM37" t="str">
        <f>""</f>
        <v/>
      </c>
      <c r="CN37" t="str">
        <f>""</f>
        <v/>
      </c>
      <c r="CO37" t="str">
        <f>""</f>
        <v/>
      </c>
      <c r="CP37" t="str">
        <f>""</f>
        <v/>
      </c>
      <c r="CQ37" t="str">
        <f>""</f>
        <v/>
      </c>
      <c r="CR37" t="str">
        <f>""</f>
        <v/>
      </c>
      <c r="CS37" t="str">
        <f>""</f>
        <v/>
      </c>
      <c r="CT37" t="str">
        <f>""</f>
        <v/>
      </c>
      <c r="CU37" t="str">
        <f>""</f>
        <v/>
      </c>
      <c r="CV37" t="str">
        <f>""</f>
        <v/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</row>
    <row r="38" spans="1:125">
      <c r="A38" t="str">
        <f>$A$8</f>
        <v xml:space="preserve">    办公楼房地产投资信托总股利支付</v>
      </c>
      <c r="B38" t="str">
        <f>$B$8</f>
        <v>RECFTDOF Index</v>
      </c>
      <c r="C38" t="str">
        <f>$C$8</f>
        <v>PR005</v>
      </c>
      <c r="D38" t="str">
        <f>$D$8</f>
        <v>PX_LAST</v>
      </c>
      <c r="E38" t="str">
        <f>$E$8</f>
        <v>动态</v>
      </c>
      <c r="F38" t="str">
        <f ca="1">BDH($B$8,$C$8,$B$27,$B$28,CONCATENATE("Per=",$B$25),"Dts=H","Dir=H",CONCATENATE("Points=",$B$26),"Sort=R","Days=A","Fill=B",CONCATENATE("FX=", $B$24) )</f>
        <v>#N/A Requesting Data...</v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A39" t="str">
        <f>$A$12</f>
        <v xml:space="preserve">    办公物业房地产投资信托总开发渠道</v>
      </c>
      <c r="B39" t="str">
        <f>$B$12</f>
        <v>RECFDVOF Index</v>
      </c>
      <c r="C39" t="str">
        <f>$C$12</f>
        <v>PR005</v>
      </c>
      <c r="D39" t="str">
        <f>$D$12</f>
        <v>PX_LAST</v>
      </c>
      <c r="E39" t="str">
        <f>$E$12</f>
        <v>动态</v>
      </c>
      <c r="F39" t="str">
        <f ca="1">BDH($B$12,$C$12,$B$27,$B$28,CONCATENATE("Per=",$B$25),"Dts=H","Dir=H",CONCATENATE("Points=",$B$26),"Sort=R","Days=A","Fill=B",CONCATENATE("FX=", $B$24) )</f>
        <v>#N/A Requesting Data...</v>
      </c>
      <c r="BN39" t="str">
        <f>""</f>
        <v/>
      </c>
      <c r="BO39" t="str">
        <f>""</f>
        <v/>
      </c>
      <c r="BP39" t="str">
        <f>""</f>
        <v/>
      </c>
      <c r="BQ39" t="str">
        <f>""</f>
        <v/>
      </c>
      <c r="BR39" t="str">
        <f>""</f>
        <v/>
      </c>
      <c r="BS39" t="str">
        <f>""</f>
        <v/>
      </c>
      <c r="BT39" t="str">
        <f>""</f>
        <v/>
      </c>
      <c r="BU39" t="str">
        <f>""</f>
        <v/>
      </c>
      <c r="BV39" t="str">
        <f>""</f>
        <v/>
      </c>
      <c r="BW39" t="str">
        <f>""</f>
        <v/>
      </c>
      <c r="BX39" t="str">
        <f>""</f>
        <v/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  <c r="CI39" t="str">
        <f>""</f>
        <v/>
      </c>
      <c r="CJ39" t="str">
        <f>""</f>
        <v/>
      </c>
      <c r="CK39" t="str">
        <f>""</f>
        <v/>
      </c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</row>
    <row r="40" spans="1:125">
      <c r="A40" t="str">
        <f>""</f>
        <v/>
      </c>
      <c r="B40" t="str">
        <f>""</f>
        <v/>
      </c>
      <c r="C40" t="str">
        <f>""</f>
        <v/>
      </c>
      <c r="D40" t="str">
        <f>""</f>
        <v/>
      </c>
      <c r="E40" t="str">
        <f>""</f>
        <v/>
      </c>
      <c r="BN40" t="str">
        <f>""</f>
        <v/>
      </c>
      <c r="BO40" t="str">
        <f>""</f>
        <v/>
      </c>
      <c r="BP40" t="str">
        <f>""</f>
        <v/>
      </c>
      <c r="BQ40" t="str">
        <f>""</f>
        <v/>
      </c>
      <c r="BR40" t="str">
        <f>""</f>
        <v/>
      </c>
      <c r="BS40" t="str">
        <f>""</f>
        <v/>
      </c>
      <c r="BT40" t="str">
        <f>""</f>
        <v/>
      </c>
      <c r="BU40" t="str">
        <f>""</f>
        <v/>
      </c>
      <c r="BV40" t="str">
        <f>""</f>
        <v/>
      </c>
      <c r="BW40" t="str">
        <f>""</f>
        <v/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  <c r="CI40" t="str">
        <f>""</f>
        <v/>
      </c>
      <c r="CJ40" t="str">
        <f>""</f>
        <v/>
      </c>
      <c r="CK40" t="str">
        <f>""</f>
        <v/>
      </c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</row>
    <row r="41" spans="1:125">
      <c r="A41" t="str">
        <f>""</f>
        <v/>
      </c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  <c r="BT41" t="str">
        <f>""</f>
        <v/>
      </c>
      <c r="BU41" t="str">
        <f>""</f>
        <v/>
      </c>
      <c r="BV41" t="str">
        <f>""</f>
        <v/>
      </c>
      <c r="BW41" t="str">
        <f>""</f>
        <v/>
      </c>
      <c r="BX41" t="str">
        <f>""</f>
        <v/>
      </c>
      <c r="BY41" t="str">
        <f>""</f>
        <v/>
      </c>
      <c r="BZ41" t="str">
        <f>""</f>
        <v/>
      </c>
      <c r="CA41" t="str">
        <f>""</f>
        <v/>
      </c>
      <c r="CB41" t="str">
        <f>""</f>
        <v/>
      </c>
      <c r="CC41" t="str">
        <f>""</f>
        <v/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""</f>
        <v/>
      </c>
      <c r="CI41" t="str">
        <f>""</f>
        <v/>
      </c>
      <c r="CJ41" t="str">
        <f>""</f>
        <v/>
      </c>
      <c r="CK41" t="str">
        <f>""</f>
        <v/>
      </c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</row>
    <row r="42" spans="1:125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""</f>
        <v/>
      </c>
      <c r="BN42" t="str">
        <f>""</f>
        <v/>
      </c>
      <c r="BO42" t="str">
        <f>""</f>
        <v/>
      </c>
      <c r="BP42" t="str">
        <f>""</f>
        <v/>
      </c>
      <c r="BQ42" t="str">
        <f>""</f>
        <v/>
      </c>
      <c r="BR42" t="str">
        <f>""</f>
        <v/>
      </c>
      <c r="BS42" t="str">
        <f>""</f>
        <v/>
      </c>
      <c r="BT42" t="str">
        <f>""</f>
        <v/>
      </c>
      <c r="BU42" t="str">
        <f>""</f>
        <v/>
      </c>
      <c r="BV42" t="str">
        <f>""</f>
        <v/>
      </c>
      <c r="BW42" t="str">
        <f>""</f>
        <v/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  <c r="CI42" t="str">
        <f>""</f>
        <v/>
      </c>
      <c r="CJ42" t="str">
        <f>""</f>
        <v/>
      </c>
      <c r="CK42" t="str">
        <f>""</f>
        <v/>
      </c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>
      <c r="A43" t="str">
        <f>""</f>
        <v/>
      </c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>
      <c r="A44" t="str">
        <f>""</f>
        <v/>
      </c>
      <c r="B44" t="str">
        <f>""</f>
        <v/>
      </c>
      <c r="C44" t="str">
        <f>""</f>
        <v/>
      </c>
      <c r="D44" t="str">
        <f>""</f>
        <v/>
      </c>
      <c r="E44" t="str">
        <f>""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"~~~~~~~~~~~~~~~~~~~~~"</f>
        <v>~~~~~~~~~~~~~~~~~~~~~</v>
      </c>
      <c r="B45" t="str">
        <f>"~~~~~~~~~~~~~~~~~~~~~"</f>
        <v>~~~~~~~~~~~~~~~~~~~~~</v>
      </c>
      <c r="C45" t="str">
        <f>"~~~~~~~~~~~~~~~~~~~~~"</f>
        <v>~~~~~~~~~~~~~~~~~~~~~</v>
      </c>
      <c r="D45" t="str">
        <f>"~~~~~~~~~~~~~~~~~~~~~"</f>
        <v>~~~~~~~~~~~~~~~~~~~~~</v>
      </c>
      <c r="E45" t="str">
        <f>"~~~~~~~~~~~~~~~~~~~~~"</f>
        <v>~~~~~~~~~~~~~~~~~~~~~</v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  <c r="CI45" t="str">
        <f>""</f>
        <v/>
      </c>
      <c r="CJ45" t="str">
        <f>""</f>
        <v/>
      </c>
      <c r="CK45" t="str">
        <f>""</f>
        <v/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>
      <c r="A46" t="str">
        <f>"Rows below for column date calculation"</f>
        <v>Rows below for column date calculation</v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  <c r="BT46" t="str">
        <f>""</f>
        <v/>
      </c>
      <c r="BU46" t="str">
        <f>""</f>
        <v/>
      </c>
      <c r="BV46" t="str">
        <f>""</f>
        <v/>
      </c>
      <c r="BW46" t="str">
        <f>""</f>
        <v/>
      </c>
      <c r="BX46" t="str">
        <f>""</f>
        <v/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  <c r="CI46" t="str">
        <f>""</f>
        <v/>
      </c>
      <c r="CJ46" t="str">
        <f>""</f>
        <v/>
      </c>
      <c r="CK46" t="str">
        <f>""</f>
        <v/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</row>
    <row r="47" spans="1:125">
      <c r="A47" t="str">
        <f>"Downloaded at"</f>
        <v>Downloaded at</v>
      </c>
      <c r="B47">
        <f>DATE(2018, 3,13)</f>
        <v>43172</v>
      </c>
      <c r="C47" t="str">
        <f>""</f>
        <v/>
      </c>
      <c r="D47" t="str">
        <f>""</f>
        <v/>
      </c>
      <c r="E47" t="str">
        <f>""</f>
        <v/>
      </c>
      <c r="BN47" t="str">
        <f>""</f>
        <v/>
      </c>
      <c r="BO47" t="str">
        <f>""</f>
        <v/>
      </c>
      <c r="BP47" t="str">
        <f>""</f>
        <v/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 t="str">
        <f>""</f>
        <v/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 t="str">
        <f>""</f>
        <v/>
      </c>
      <c r="CK47" t="str">
        <f>""</f>
        <v/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>
      <c r="A48" t="str">
        <f>"This is End Date"</f>
        <v>This is End Date</v>
      </c>
      <c r="B48">
        <f ca="1">$B$28</f>
        <v>43173</v>
      </c>
      <c r="C48" t="str">
        <f>""</f>
        <v/>
      </c>
      <c r="D48" t="str">
        <f>""</f>
        <v/>
      </c>
      <c r="E48" t="str">
        <f>""</f>
        <v/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  <c r="CI48" t="str">
        <f>""</f>
        <v/>
      </c>
      <c r="CJ48" t="str">
        <f>""</f>
        <v/>
      </c>
      <c r="CK48" t="str">
        <f>""</f>
        <v/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</row>
    <row r="49" spans="1:125">
      <c r="A49" t="str">
        <f>"简述"</f>
        <v>简述</v>
      </c>
      <c r="B49" t="str">
        <f>"代码"</f>
        <v>代码</v>
      </c>
      <c r="C49" t="str">
        <f>"栏目ID"</f>
        <v>栏目ID</v>
      </c>
      <c r="D49" t="str">
        <f>"栏目助记符"</f>
        <v>栏目助记符</v>
      </c>
      <c r="E49" t="str">
        <f>"数据状态"</f>
        <v>数据状态</v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  <c r="CI49" t="str">
        <f>""</f>
        <v/>
      </c>
      <c r="CJ49" t="str">
        <f>""</f>
        <v/>
      </c>
      <c r="CK49" t="str">
        <f>""</f>
        <v/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>
      <c r="A50" t="str">
        <f>"Snapshot Date"</f>
        <v>Snapshot Date</v>
      </c>
      <c r="B50">
        <f>DATE(2018, 3,13)</f>
        <v>43172</v>
      </c>
      <c r="C50" t="str">
        <f>""</f>
        <v/>
      </c>
      <c r="D50" t="str">
        <f>""</f>
        <v/>
      </c>
      <c r="E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  <c r="CI50" t="str">
        <f>""</f>
        <v/>
      </c>
      <c r="CJ50" t="str">
        <f>""</f>
        <v/>
      </c>
      <c r="CK50" t="str">
        <f>""</f>
        <v/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</row>
    <row r="51" spans="1:125">
      <c r="A51" t="str">
        <f>"Snapshot header"</f>
        <v>Snapshot header</v>
      </c>
      <c r="B51">
        <f>2</f>
        <v>2</v>
      </c>
      <c r="C51" t="str">
        <f>"2017 Q4"</f>
        <v>2017 Q4</v>
      </c>
      <c r="D51" t="str">
        <f>"2017 Q3"</f>
        <v>2017 Q3</v>
      </c>
      <c r="E51" t="str">
        <f>"2017 Q2"</f>
        <v>2017 Q2</v>
      </c>
      <c r="F51" t="str">
        <f>"2017 Q1"</f>
        <v>2017 Q1</v>
      </c>
      <c r="G51" t="str">
        <f>"2016 Q4"</f>
        <v>2016 Q4</v>
      </c>
      <c r="H51" t="str">
        <f>"2016 Q3"</f>
        <v>2016 Q3</v>
      </c>
      <c r="I51" t="str">
        <f>"2016 Q2"</f>
        <v>2016 Q2</v>
      </c>
      <c r="J51" t="str">
        <f>"2016 Q1"</f>
        <v>2016 Q1</v>
      </c>
      <c r="K51" t="str">
        <f>"2015 Q4"</f>
        <v>2015 Q4</v>
      </c>
      <c r="L51" t="str">
        <f>"2015 Q3"</f>
        <v>2015 Q3</v>
      </c>
      <c r="M51" t="str">
        <f>"2015 Q2"</f>
        <v>2015 Q2</v>
      </c>
      <c r="N51" t="str">
        <f>"2015 Q1"</f>
        <v>2015 Q1</v>
      </c>
      <c r="O51" t="str">
        <f>"2014 Q4"</f>
        <v>2014 Q4</v>
      </c>
      <c r="P51" t="str">
        <f>"2014 Q3"</f>
        <v>2014 Q3</v>
      </c>
      <c r="Q51" t="str">
        <f>"2014 Q2"</f>
        <v>2014 Q2</v>
      </c>
      <c r="R51" t="str">
        <f>"2014 Q1"</f>
        <v>2014 Q1</v>
      </c>
      <c r="S51" t="str">
        <f>"2013 Q4"</f>
        <v>2013 Q4</v>
      </c>
      <c r="T51" t="str">
        <f>"2013 Q3"</f>
        <v>2013 Q3</v>
      </c>
      <c r="U51" t="str">
        <f>"2013 Q2"</f>
        <v>2013 Q2</v>
      </c>
      <c r="V51" t="str">
        <f>"2013 Q1"</f>
        <v>2013 Q1</v>
      </c>
      <c r="W51" t="str">
        <f>"2012 Q4"</f>
        <v>2012 Q4</v>
      </c>
      <c r="X51" t="str">
        <f>"2012 Q3"</f>
        <v>2012 Q3</v>
      </c>
      <c r="Y51" t="str">
        <f>"2012 Q2"</f>
        <v>2012 Q2</v>
      </c>
      <c r="Z51" t="str">
        <f>"2012 Q1"</f>
        <v>2012 Q1</v>
      </c>
      <c r="AA51" t="str">
        <f>"2011 Q4"</f>
        <v>2011 Q4</v>
      </c>
      <c r="AB51" t="str">
        <f>"2011 Q3"</f>
        <v>2011 Q3</v>
      </c>
      <c r="AC51" t="str">
        <f>"2011 Q2"</f>
        <v>2011 Q2</v>
      </c>
      <c r="AD51" t="str">
        <f>"2011 Q1"</f>
        <v>2011 Q1</v>
      </c>
      <c r="AE51" t="str">
        <f>"2010 Q4"</f>
        <v>2010 Q4</v>
      </c>
      <c r="AF51" t="str">
        <f>"2010 Q3"</f>
        <v>2010 Q3</v>
      </c>
      <c r="AG51" t="str">
        <f>"2010 Q2"</f>
        <v>2010 Q2</v>
      </c>
      <c r="AH51" t="str">
        <f>"2010 Q1"</f>
        <v>2010 Q1</v>
      </c>
      <c r="AI51" t="str">
        <f>"2009 Q4"</f>
        <v>2009 Q4</v>
      </c>
      <c r="AJ51" t="str">
        <f>"2009 Q3"</f>
        <v>2009 Q3</v>
      </c>
      <c r="AK51" t="str">
        <f>"2009 Q2"</f>
        <v>2009 Q2</v>
      </c>
      <c r="AL51" t="str">
        <f>"2009 Q1"</f>
        <v>2009 Q1</v>
      </c>
      <c r="AM51" t="str">
        <f>"2008 Q4"</f>
        <v>2008 Q4</v>
      </c>
      <c r="AN51" t="str">
        <f>"2008 Q3"</f>
        <v>2008 Q3</v>
      </c>
      <c r="AO51" t="str">
        <f>"2008 Q2"</f>
        <v>2008 Q2</v>
      </c>
      <c r="AP51" t="str">
        <f>"2008 Q1"</f>
        <v>2008 Q1</v>
      </c>
      <c r="AQ51" t="str">
        <f>"2007 Q4"</f>
        <v>2007 Q4</v>
      </c>
      <c r="AR51" t="str">
        <f>"2007 Q3"</f>
        <v>2007 Q3</v>
      </c>
      <c r="AS51" t="str">
        <f>"2007 Q2"</f>
        <v>2007 Q2</v>
      </c>
      <c r="AT51" t="str">
        <f>"2007 Q1"</f>
        <v>2007 Q1</v>
      </c>
      <c r="AU51" t="str">
        <f>"2006 Q4"</f>
        <v>2006 Q4</v>
      </c>
      <c r="AV51" t="str">
        <f>"2006 Q3"</f>
        <v>2006 Q3</v>
      </c>
      <c r="AW51" t="str">
        <f>"2006 Q2"</f>
        <v>2006 Q2</v>
      </c>
      <c r="AX51" t="str">
        <f>"2006 Q1"</f>
        <v>2006 Q1</v>
      </c>
      <c r="AY51" t="str">
        <f>"2005 Q4"</f>
        <v>2005 Q4</v>
      </c>
      <c r="AZ51" t="str">
        <f>"2005 Q3"</f>
        <v>2005 Q3</v>
      </c>
      <c r="BA51" t="str">
        <f>"2005 Q2"</f>
        <v>2005 Q2</v>
      </c>
      <c r="BB51" t="str">
        <f>"2005 Q1"</f>
        <v>2005 Q1</v>
      </c>
      <c r="BC51" t="str">
        <f>"2004 Q4"</f>
        <v>2004 Q4</v>
      </c>
      <c r="BD51" t="str">
        <f>"2004 Q3"</f>
        <v>2004 Q3</v>
      </c>
      <c r="BE51" t="str">
        <f>"2004 Q2"</f>
        <v>2004 Q2</v>
      </c>
      <c r="BF51" t="str">
        <f>"2004 Q1"</f>
        <v>2004 Q1</v>
      </c>
      <c r="BG51" t="str">
        <f>"2003 Q4"</f>
        <v>2003 Q4</v>
      </c>
      <c r="BH51" t="str">
        <f>"2003 Q3"</f>
        <v>2003 Q3</v>
      </c>
      <c r="BI51" t="str">
        <f>"2003 Q2"</f>
        <v>2003 Q2</v>
      </c>
      <c r="BJ51" t="str">
        <f>"2003 Q1"</f>
        <v>2003 Q1</v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>
      <c r="A52" t="str">
        <f>"BDH snapshot header0"</f>
        <v>BDH snapshot header0</v>
      </c>
      <c r="B52">
        <f>IF(OR(ISERROR($C$52),ISBLANK($C$52),ISNUMBER(SEARCH("N/A",$C$52) ),ISERROR($C$53),ISBLANK($C$53)),0,1)</f>
        <v>0</v>
      </c>
      <c r="C52" t="str">
        <f>BDH($B$31,$C$31,$B$27,$B$50,"PER=CQ","Dts=S","DtFmt=FI", "rows=2","Dir=H","Points=60","Sort=R","Days=A","Fill=B","FX=USD" )</f>
        <v>#N/A Requesting Data...</v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  <c r="CI52" t="str">
        <f>""</f>
        <v/>
      </c>
      <c r="CJ52" t="str">
        <f>""</f>
        <v/>
      </c>
      <c r="CK52" t="str">
        <f>""</f>
        <v/>
      </c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>
      <c r="A53" t="str">
        <f>"BDH snapshot result0"</f>
        <v>BDH snapshot result0</v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  <c r="CI53" t="str">
        <f>""</f>
        <v/>
      </c>
      <c r="CJ53" t="str">
        <f>""</f>
        <v/>
      </c>
      <c r="CK53" t="str">
        <f>""</f>
        <v/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>
      <c r="A54" t="str">
        <f>"BDH snapshot header1"</f>
        <v>BDH snapshot header1</v>
      </c>
      <c r="B54">
        <f>IF(OR(ISERROR($C$54),ISBLANK($C$54),ISNUMBER(SEARCH("N/A",$C$54) ),ISERROR($C$55),ISBLANK($C$55)),0,1)</f>
        <v>0</v>
      </c>
      <c r="C54" t="str">
        <f>BDH($B$32,$C$32,$B$27,$B$50,"PER=CQ","Dts=S","DtFmt=FI", "rows=2","Dir=H","Points=60","Sort=R","Days=A","Fill=B","FX=USD" )</f>
        <v>#N/A Requesting Data...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  <c r="CI54" t="str">
        <f>""</f>
        <v/>
      </c>
      <c r="CJ54" t="str">
        <f>""</f>
        <v/>
      </c>
      <c r="CK54" t="str">
        <f>""</f>
        <v/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</row>
    <row r="55" spans="1:125">
      <c r="A55" t="str">
        <f>"BDH snapshot result1"</f>
        <v>BDH snapshot result1</v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  <c r="CI55" t="str">
        <f>""</f>
        <v/>
      </c>
      <c r="CJ55" t="str">
        <f>""</f>
        <v/>
      </c>
      <c r="CK55" t="str">
        <f>""</f>
        <v/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>
      <c r="A56" t="str">
        <f>"BDH snapshot header2"</f>
        <v>BDH snapshot header2</v>
      </c>
      <c r="B56">
        <f>IF(OR(ISERROR($C$56),ISBLANK($C$56),ISNUMBER(SEARCH("N/A",$C$56) ),ISERROR($C$57),ISBLANK($C$57)),0,1)</f>
        <v>0</v>
      </c>
      <c r="C56" t="str">
        <f>BDH($B$33,$C$33,$B$27,$B$50,"PER=CQ","Dts=S","DtFmt=FI", "rows=2","Dir=H","Points=60","Sort=R","Days=A","Fill=B","FX=USD" )</f>
        <v>#N/A Requesting Data...</v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"BDH snapshot result2"</f>
        <v>BDH snapshot result2</v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"BDH snapshot"</f>
        <v>BDH snapshot</v>
      </c>
      <c r="B58">
        <f>IF($B$52&gt;=1,$B$52,IF($B$54&gt;=1,$B$54,IF($B$56&gt;=1,$B$56,$B$51)))</f>
        <v>2</v>
      </c>
      <c r="C58" t="str">
        <f>IF($B$52&gt;=1,$C$52,IF($B$54&gt;=1,$C$54,IF($B$56&gt;=1,$C$56,$C$51)))</f>
        <v>2017 Q4</v>
      </c>
      <c r="D58" t="str">
        <f>IF($B$52&gt;=1,$D$52,IF($B$54&gt;=1,$D$54,IF($B$56&gt;=1,$D$56,$D$51)))</f>
        <v>2017 Q3</v>
      </c>
      <c r="E58" t="str">
        <f>IF($B$52&gt;=1,$E$52,IF($B$54&gt;=1,$E$54,IF($B$56&gt;=1,$E$56,$E$51)))</f>
        <v>2017 Q2</v>
      </c>
      <c r="F58" t="str">
        <f>IF($B$52&gt;=1,$F$52,IF($B$54&gt;=1,$F$54,IF($B$56&gt;=1,$F$56,$F$51)))</f>
        <v>2017 Q1</v>
      </c>
      <c r="G58" t="str">
        <f>IF($B$52&gt;=1,$G$52,IF($B$54&gt;=1,$G$54,IF($B$56&gt;=1,$G$56,$G$51)))</f>
        <v>2016 Q4</v>
      </c>
      <c r="H58" t="str">
        <f>IF($B$52&gt;=1,$H$52,IF($B$54&gt;=1,$H$54,IF($B$56&gt;=1,$H$56,$H$51)))</f>
        <v>2016 Q3</v>
      </c>
      <c r="I58" t="str">
        <f>IF($B$52&gt;=1,$I$52,IF($B$54&gt;=1,$I$54,IF($B$56&gt;=1,$I$56,$I$51)))</f>
        <v>2016 Q2</v>
      </c>
      <c r="J58" t="str">
        <f>IF($B$52&gt;=1,$J$52,IF($B$54&gt;=1,$J$54,IF($B$56&gt;=1,$J$56,$J$51)))</f>
        <v>2016 Q1</v>
      </c>
      <c r="K58" t="str">
        <f>IF($B$52&gt;=1,$K$52,IF($B$54&gt;=1,$K$54,IF($B$56&gt;=1,$K$56,$K$51)))</f>
        <v>2015 Q4</v>
      </c>
      <c r="L58" t="str">
        <f>IF($B$52&gt;=1,$L$52,IF($B$54&gt;=1,$L$54,IF($B$56&gt;=1,$L$56,$L$51)))</f>
        <v>2015 Q3</v>
      </c>
      <c r="M58" t="str">
        <f>IF($B$52&gt;=1,$M$52,IF($B$54&gt;=1,$M$54,IF($B$56&gt;=1,$M$56,$M$51)))</f>
        <v>2015 Q2</v>
      </c>
      <c r="N58" t="str">
        <f>IF($B$52&gt;=1,$N$52,IF($B$54&gt;=1,$N$54,IF($B$56&gt;=1,$N$56,$N$51)))</f>
        <v>2015 Q1</v>
      </c>
      <c r="O58" t="str">
        <f>IF($B$52&gt;=1,$O$52,IF($B$54&gt;=1,$O$54,IF($B$56&gt;=1,$O$56,$O$51)))</f>
        <v>2014 Q4</v>
      </c>
      <c r="P58" t="str">
        <f>IF($B$52&gt;=1,$P$52,IF($B$54&gt;=1,$P$54,IF($B$56&gt;=1,$P$56,$P$51)))</f>
        <v>2014 Q3</v>
      </c>
      <c r="Q58" t="str">
        <f>IF($B$52&gt;=1,$Q$52,IF($B$54&gt;=1,$Q$54,IF($B$56&gt;=1,$Q$56,$Q$51)))</f>
        <v>2014 Q2</v>
      </c>
      <c r="R58" t="str">
        <f>IF($B$52&gt;=1,$R$52,IF($B$54&gt;=1,$R$54,IF($B$56&gt;=1,$R$56,$R$51)))</f>
        <v>2014 Q1</v>
      </c>
      <c r="S58" t="str">
        <f>IF($B$52&gt;=1,$S$52,IF($B$54&gt;=1,$S$54,IF($B$56&gt;=1,$S$56,$S$51)))</f>
        <v>2013 Q4</v>
      </c>
      <c r="T58" t="str">
        <f>IF($B$52&gt;=1,$T$52,IF($B$54&gt;=1,$T$54,IF($B$56&gt;=1,$T$56,$T$51)))</f>
        <v>2013 Q3</v>
      </c>
      <c r="U58" t="str">
        <f>IF($B$52&gt;=1,$U$52,IF($B$54&gt;=1,$U$54,IF($B$56&gt;=1,$U$56,$U$51)))</f>
        <v>2013 Q2</v>
      </c>
      <c r="V58" t="str">
        <f>IF($B$52&gt;=1,$V$52,IF($B$54&gt;=1,$V$54,IF($B$56&gt;=1,$V$56,$V$51)))</f>
        <v>2013 Q1</v>
      </c>
      <c r="W58" t="str">
        <f>IF($B$52&gt;=1,$W$52,IF($B$54&gt;=1,$W$54,IF($B$56&gt;=1,$W$56,$W$51)))</f>
        <v>2012 Q4</v>
      </c>
      <c r="X58" t="str">
        <f>IF($B$52&gt;=1,$X$52,IF($B$54&gt;=1,$X$54,IF($B$56&gt;=1,$X$56,$X$51)))</f>
        <v>2012 Q3</v>
      </c>
      <c r="Y58" t="str">
        <f>IF($B$52&gt;=1,$Y$52,IF($B$54&gt;=1,$Y$54,IF($B$56&gt;=1,$Y$56,$Y$51)))</f>
        <v>2012 Q2</v>
      </c>
      <c r="Z58" t="str">
        <f>IF($B$52&gt;=1,$Z$52,IF($B$54&gt;=1,$Z$54,IF($B$56&gt;=1,$Z$56,$Z$51)))</f>
        <v>2012 Q1</v>
      </c>
      <c r="AA58" t="str">
        <f>IF($B$52&gt;=1,$AA$52,IF($B$54&gt;=1,$AA$54,IF($B$56&gt;=1,$AA$56,$AA$51)))</f>
        <v>2011 Q4</v>
      </c>
      <c r="AB58" t="str">
        <f>IF($B$52&gt;=1,$AB$52,IF($B$54&gt;=1,$AB$54,IF($B$56&gt;=1,$AB$56,$AB$51)))</f>
        <v>2011 Q3</v>
      </c>
      <c r="AC58" t="str">
        <f>IF($B$52&gt;=1,$AC$52,IF($B$54&gt;=1,$AC$54,IF($B$56&gt;=1,$AC$56,$AC$51)))</f>
        <v>2011 Q2</v>
      </c>
      <c r="AD58" t="str">
        <f>IF($B$52&gt;=1,$AD$52,IF($B$54&gt;=1,$AD$54,IF($B$56&gt;=1,$AD$56,$AD$51)))</f>
        <v>2011 Q1</v>
      </c>
      <c r="AE58" t="str">
        <f>IF($B$52&gt;=1,$AE$52,IF($B$54&gt;=1,$AE$54,IF($B$56&gt;=1,$AE$56,$AE$51)))</f>
        <v>2010 Q4</v>
      </c>
      <c r="AF58" t="str">
        <f>IF($B$52&gt;=1,$AF$52,IF($B$54&gt;=1,$AF$54,IF($B$56&gt;=1,$AF$56,$AF$51)))</f>
        <v>2010 Q3</v>
      </c>
      <c r="AG58" t="str">
        <f>IF($B$52&gt;=1,$AG$52,IF($B$54&gt;=1,$AG$54,IF($B$56&gt;=1,$AG$56,$AG$51)))</f>
        <v>2010 Q2</v>
      </c>
      <c r="AH58" t="str">
        <f>IF($B$52&gt;=1,$AH$52,IF($B$54&gt;=1,$AH$54,IF($B$56&gt;=1,$AH$56,$AH$51)))</f>
        <v>2010 Q1</v>
      </c>
      <c r="AI58" t="str">
        <f>IF($B$52&gt;=1,$AI$52,IF($B$54&gt;=1,$AI$54,IF($B$56&gt;=1,$AI$56,$AI$51)))</f>
        <v>2009 Q4</v>
      </c>
      <c r="AJ58" t="str">
        <f>IF($B$52&gt;=1,$AJ$52,IF($B$54&gt;=1,$AJ$54,IF($B$56&gt;=1,$AJ$56,$AJ$51)))</f>
        <v>2009 Q3</v>
      </c>
      <c r="AK58" t="str">
        <f>IF($B$52&gt;=1,$AK$52,IF($B$54&gt;=1,$AK$54,IF($B$56&gt;=1,$AK$56,$AK$51)))</f>
        <v>2009 Q2</v>
      </c>
      <c r="AL58" t="str">
        <f>IF($B$52&gt;=1,$AL$52,IF($B$54&gt;=1,$AL$54,IF($B$56&gt;=1,$AL$56,$AL$51)))</f>
        <v>2009 Q1</v>
      </c>
      <c r="AM58" t="str">
        <f>IF($B$52&gt;=1,$AM$52,IF($B$54&gt;=1,$AM$54,IF($B$56&gt;=1,$AM$56,$AM$51)))</f>
        <v>2008 Q4</v>
      </c>
      <c r="AN58" t="str">
        <f>IF($B$52&gt;=1,$AN$52,IF($B$54&gt;=1,$AN$54,IF($B$56&gt;=1,$AN$56,$AN$51)))</f>
        <v>2008 Q3</v>
      </c>
      <c r="AO58" t="str">
        <f>IF($B$52&gt;=1,$AO$52,IF($B$54&gt;=1,$AO$54,IF($B$56&gt;=1,$AO$56,$AO$51)))</f>
        <v>2008 Q2</v>
      </c>
      <c r="AP58" t="str">
        <f>IF($B$52&gt;=1,$AP$52,IF($B$54&gt;=1,$AP$54,IF($B$56&gt;=1,$AP$56,$AP$51)))</f>
        <v>2008 Q1</v>
      </c>
      <c r="AQ58" t="str">
        <f>IF($B$52&gt;=1,$AQ$52,IF($B$54&gt;=1,$AQ$54,IF($B$56&gt;=1,$AQ$56,$AQ$51)))</f>
        <v>2007 Q4</v>
      </c>
      <c r="AR58" t="str">
        <f>IF($B$52&gt;=1,$AR$52,IF($B$54&gt;=1,$AR$54,IF($B$56&gt;=1,$AR$56,$AR$51)))</f>
        <v>2007 Q3</v>
      </c>
      <c r="AS58" t="str">
        <f>IF($B$52&gt;=1,$AS$52,IF($B$54&gt;=1,$AS$54,IF($B$56&gt;=1,$AS$56,$AS$51)))</f>
        <v>2007 Q2</v>
      </c>
      <c r="AT58" t="str">
        <f>IF($B$52&gt;=1,$AT$52,IF($B$54&gt;=1,$AT$54,IF($B$56&gt;=1,$AT$56,$AT$51)))</f>
        <v>2007 Q1</v>
      </c>
      <c r="AU58" t="str">
        <f>IF($B$52&gt;=1,$AU$52,IF($B$54&gt;=1,$AU$54,IF($B$56&gt;=1,$AU$56,$AU$51)))</f>
        <v>2006 Q4</v>
      </c>
      <c r="AV58" t="str">
        <f>IF($B$52&gt;=1,$AV$52,IF($B$54&gt;=1,$AV$54,IF($B$56&gt;=1,$AV$56,$AV$51)))</f>
        <v>2006 Q3</v>
      </c>
      <c r="AW58" t="str">
        <f>IF($B$52&gt;=1,$AW$52,IF($B$54&gt;=1,$AW$54,IF($B$56&gt;=1,$AW$56,$AW$51)))</f>
        <v>2006 Q2</v>
      </c>
      <c r="AX58" t="str">
        <f>IF($B$52&gt;=1,$AX$52,IF($B$54&gt;=1,$AX$54,IF($B$56&gt;=1,$AX$56,$AX$51)))</f>
        <v>2006 Q1</v>
      </c>
      <c r="AY58" t="str">
        <f>IF($B$52&gt;=1,$AY$52,IF($B$54&gt;=1,$AY$54,IF($B$56&gt;=1,$AY$56,$AY$51)))</f>
        <v>2005 Q4</v>
      </c>
      <c r="AZ58" t="str">
        <f>IF($B$52&gt;=1,$AZ$52,IF($B$54&gt;=1,$AZ$54,IF($B$56&gt;=1,$AZ$56,$AZ$51)))</f>
        <v>2005 Q3</v>
      </c>
      <c r="BA58" t="str">
        <f>IF($B$52&gt;=1,$BA$52,IF($B$54&gt;=1,$BA$54,IF($B$56&gt;=1,$BA$56,$BA$51)))</f>
        <v>2005 Q2</v>
      </c>
      <c r="BB58" t="str">
        <f>IF($B$52&gt;=1,$BB$52,IF($B$54&gt;=1,$BB$54,IF($B$56&gt;=1,$BB$56,$BB$51)))</f>
        <v>2005 Q1</v>
      </c>
      <c r="BC58" t="str">
        <f>IF($B$52&gt;=1,$BC$52,IF($B$54&gt;=1,$BC$54,IF($B$56&gt;=1,$BC$56,$BC$51)))</f>
        <v>2004 Q4</v>
      </c>
      <c r="BD58" t="str">
        <f>IF($B$52&gt;=1,$BD$52,IF($B$54&gt;=1,$BD$54,IF($B$56&gt;=1,$BD$56,$BD$51)))</f>
        <v>2004 Q3</v>
      </c>
      <c r="BE58" t="str">
        <f>IF($B$52&gt;=1,$BE$52,IF($B$54&gt;=1,$BE$54,IF($B$56&gt;=1,$BE$56,$BE$51)))</f>
        <v>2004 Q2</v>
      </c>
      <c r="BF58" t="str">
        <f>IF($B$52&gt;=1,$BF$52,IF($B$54&gt;=1,$BF$54,IF($B$56&gt;=1,$BF$56,$BF$51)))</f>
        <v>2004 Q1</v>
      </c>
      <c r="BG58" t="str">
        <f>IF($B$52&gt;=1,$BG$52,IF($B$54&gt;=1,$BG$54,IF($B$56&gt;=1,$BG$56,$BG$51)))</f>
        <v>2003 Q4</v>
      </c>
      <c r="BH58" t="str">
        <f>IF($B$52&gt;=1,$BH$52,IF($B$54&gt;=1,$BH$54,IF($B$56&gt;=1,$BH$56,$BH$51)))</f>
        <v>2003 Q3</v>
      </c>
      <c r="BI58" t="str">
        <f>IF($B$52&gt;=1,$BI$52,IF($B$54&gt;=1,$BI$54,IF($B$56&gt;=1,$BI$56,$BI$51)))</f>
        <v>2003 Q2</v>
      </c>
      <c r="BJ58" t="str">
        <f>IF($B$52&gt;=1,$BJ$52,IF($B$54&gt;=1,$BJ$54,IF($B$56&gt;=1,$BJ$56,$BJ$51)))</f>
        <v>2003 Q1</v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""</f>
        <v/>
      </c>
      <c r="CI58" t="str">
        <f>""</f>
        <v/>
      </c>
      <c r="CJ58" t="str">
        <f>""</f>
        <v/>
      </c>
      <c r="CK58" t="str">
        <f>""</f>
        <v/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>
      <c r="A59" t="str">
        <f>"BDH snapshot title"</f>
        <v>BDH snapshot title</v>
      </c>
      <c r="B59">
        <f>$B$58</f>
        <v>2</v>
      </c>
      <c r="C59" t="str">
        <f>IF(LEN($C$58)&lt;&gt;8,$C$58,RIGHT($C$58,4)&amp;" "&amp;MID($C$58,3,1)&amp;LEFT($C$58,1))</f>
        <v>2017 Q4</v>
      </c>
      <c r="D59" t="str">
        <f>IF(LEN($D$58)&lt;&gt;8,$D$58,RIGHT($D$58,4)&amp;" "&amp;MID($D$58,3,1)&amp;LEFT($D$58,1))</f>
        <v>2017 Q3</v>
      </c>
      <c r="E59" t="str">
        <f>IF(LEN($E$58)&lt;&gt;8,$E$58,RIGHT($E$58,4)&amp;" "&amp;MID($E$58,3,1)&amp;LEFT($E$58,1))</f>
        <v>2017 Q2</v>
      </c>
      <c r="F59" t="str">
        <f>IF(LEN($F$58)&lt;&gt;8,$F$58,RIGHT($F$58,4)&amp;" "&amp;MID($F$58,3,1)&amp;LEFT($F$58,1))</f>
        <v>2017 Q1</v>
      </c>
      <c r="G59" t="str">
        <f>IF(LEN($G$58)&lt;&gt;8,$G$58,RIGHT($G$58,4)&amp;" "&amp;MID($G$58,3,1)&amp;LEFT($G$58,1))</f>
        <v>2016 Q4</v>
      </c>
      <c r="H59" t="str">
        <f>IF(LEN($H$58)&lt;&gt;8,$H$58,RIGHT($H$58,4)&amp;" "&amp;MID($H$58,3,1)&amp;LEFT($H$58,1))</f>
        <v>2016 Q3</v>
      </c>
      <c r="I59" t="str">
        <f>IF(LEN($I$58)&lt;&gt;8,$I$58,RIGHT($I$58,4)&amp;" "&amp;MID($I$58,3,1)&amp;LEFT($I$58,1))</f>
        <v>2016 Q2</v>
      </c>
      <c r="J59" t="str">
        <f>IF(LEN($J$58)&lt;&gt;8,$J$58,RIGHT($J$58,4)&amp;" "&amp;MID($J$58,3,1)&amp;LEFT($J$58,1))</f>
        <v>2016 Q1</v>
      </c>
      <c r="K59" t="str">
        <f>IF(LEN($K$58)&lt;&gt;8,$K$58,RIGHT($K$58,4)&amp;" "&amp;MID($K$58,3,1)&amp;LEFT($K$58,1))</f>
        <v>2015 Q4</v>
      </c>
      <c r="L59" t="str">
        <f>IF(LEN($L$58)&lt;&gt;8,$L$58,RIGHT($L$58,4)&amp;" "&amp;MID($L$58,3,1)&amp;LEFT($L$58,1))</f>
        <v>2015 Q3</v>
      </c>
      <c r="M59" t="str">
        <f>IF(LEN($M$58)&lt;&gt;8,$M$58,RIGHT($M$58,4)&amp;" "&amp;MID($M$58,3,1)&amp;LEFT($M$58,1))</f>
        <v>2015 Q2</v>
      </c>
      <c r="N59" t="str">
        <f>IF(LEN($N$58)&lt;&gt;8,$N$58,RIGHT($N$58,4)&amp;" "&amp;MID($N$58,3,1)&amp;LEFT($N$58,1))</f>
        <v>2015 Q1</v>
      </c>
      <c r="O59" t="str">
        <f>IF(LEN($O$58)&lt;&gt;8,$O$58,RIGHT($O$58,4)&amp;" "&amp;MID($O$58,3,1)&amp;LEFT($O$58,1))</f>
        <v>2014 Q4</v>
      </c>
      <c r="P59" t="str">
        <f>IF(LEN($P$58)&lt;&gt;8,$P$58,RIGHT($P$58,4)&amp;" "&amp;MID($P$58,3,1)&amp;LEFT($P$58,1))</f>
        <v>2014 Q3</v>
      </c>
      <c r="Q59" t="str">
        <f>IF(LEN($Q$58)&lt;&gt;8,$Q$58,RIGHT($Q$58,4)&amp;" "&amp;MID($Q$58,3,1)&amp;LEFT($Q$58,1))</f>
        <v>2014 Q2</v>
      </c>
      <c r="R59" t="str">
        <f>IF(LEN($R$58)&lt;&gt;8,$R$58,RIGHT($R$58,4)&amp;" "&amp;MID($R$58,3,1)&amp;LEFT($R$58,1))</f>
        <v>2014 Q1</v>
      </c>
      <c r="S59" t="str">
        <f>IF(LEN($S$58)&lt;&gt;8,$S$58,RIGHT($S$58,4)&amp;" "&amp;MID($S$58,3,1)&amp;LEFT($S$58,1))</f>
        <v>2013 Q4</v>
      </c>
      <c r="T59" t="str">
        <f>IF(LEN($T$58)&lt;&gt;8,$T$58,RIGHT($T$58,4)&amp;" "&amp;MID($T$58,3,1)&amp;LEFT($T$58,1))</f>
        <v>2013 Q3</v>
      </c>
      <c r="U59" t="str">
        <f>IF(LEN($U$58)&lt;&gt;8,$U$58,RIGHT($U$58,4)&amp;" "&amp;MID($U$58,3,1)&amp;LEFT($U$58,1))</f>
        <v>2013 Q2</v>
      </c>
      <c r="V59" t="str">
        <f>IF(LEN($V$58)&lt;&gt;8,$V$58,RIGHT($V$58,4)&amp;" "&amp;MID($V$58,3,1)&amp;LEFT($V$58,1))</f>
        <v>2013 Q1</v>
      </c>
      <c r="W59" t="str">
        <f>IF(LEN($W$58)&lt;&gt;8,$W$58,RIGHT($W$58,4)&amp;" "&amp;MID($W$58,3,1)&amp;LEFT($W$58,1))</f>
        <v>2012 Q4</v>
      </c>
      <c r="X59" t="str">
        <f>IF(LEN($X$58)&lt;&gt;8,$X$58,RIGHT($X$58,4)&amp;" "&amp;MID($X$58,3,1)&amp;LEFT($X$58,1))</f>
        <v>2012 Q3</v>
      </c>
      <c r="Y59" t="str">
        <f>IF(LEN($Y$58)&lt;&gt;8,$Y$58,RIGHT($Y$58,4)&amp;" "&amp;MID($Y$58,3,1)&amp;LEFT($Y$58,1))</f>
        <v>2012 Q2</v>
      </c>
      <c r="Z59" t="str">
        <f>IF(LEN($Z$58)&lt;&gt;8,$Z$58,RIGHT($Z$58,4)&amp;" "&amp;MID($Z$58,3,1)&amp;LEFT($Z$58,1))</f>
        <v>2012 Q1</v>
      </c>
      <c r="AA59" t="str">
        <f>IF(LEN($AA$58)&lt;&gt;8,$AA$58,RIGHT($AA$58,4)&amp;" "&amp;MID($AA$58,3,1)&amp;LEFT($AA$58,1))</f>
        <v>2011 Q4</v>
      </c>
      <c r="AB59" t="str">
        <f>IF(LEN($AB$58)&lt;&gt;8,$AB$58,RIGHT($AB$58,4)&amp;" "&amp;MID($AB$58,3,1)&amp;LEFT($AB$58,1))</f>
        <v>2011 Q3</v>
      </c>
      <c r="AC59" t="str">
        <f>IF(LEN($AC$58)&lt;&gt;8,$AC$58,RIGHT($AC$58,4)&amp;" "&amp;MID($AC$58,3,1)&amp;LEFT($AC$58,1))</f>
        <v>2011 Q2</v>
      </c>
      <c r="AD59" t="str">
        <f>IF(LEN($AD$58)&lt;&gt;8,$AD$58,RIGHT($AD$58,4)&amp;" "&amp;MID($AD$58,3,1)&amp;LEFT($AD$58,1))</f>
        <v>2011 Q1</v>
      </c>
      <c r="AE59" t="str">
        <f>IF(LEN($AE$58)&lt;&gt;8,$AE$58,RIGHT($AE$58,4)&amp;" "&amp;MID($AE$58,3,1)&amp;LEFT($AE$58,1))</f>
        <v>2010 Q4</v>
      </c>
      <c r="AF59" t="str">
        <f>IF(LEN($AF$58)&lt;&gt;8,$AF$58,RIGHT($AF$58,4)&amp;" "&amp;MID($AF$58,3,1)&amp;LEFT($AF$58,1))</f>
        <v>2010 Q3</v>
      </c>
      <c r="AG59" t="str">
        <f>IF(LEN($AG$58)&lt;&gt;8,$AG$58,RIGHT($AG$58,4)&amp;" "&amp;MID($AG$58,3,1)&amp;LEFT($AG$58,1))</f>
        <v>2010 Q2</v>
      </c>
      <c r="AH59" t="str">
        <f>IF(LEN($AH$58)&lt;&gt;8,$AH$58,RIGHT($AH$58,4)&amp;" "&amp;MID($AH$58,3,1)&amp;LEFT($AH$58,1))</f>
        <v>2010 Q1</v>
      </c>
      <c r="AI59" t="str">
        <f>IF(LEN($AI$58)&lt;&gt;8,$AI$58,RIGHT($AI$58,4)&amp;" "&amp;MID($AI$58,3,1)&amp;LEFT($AI$58,1))</f>
        <v>2009 Q4</v>
      </c>
      <c r="AJ59" t="str">
        <f>IF(LEN($AJ$58)&lt;&gt;8,$AJ$58,RIGHT($AJ$58,4)&amp;" "&amp;MID($AJ$58,3,1)&amp;LEFT($AJ$58,1))</f>
        <v>2009 Q3</v>
      </c>
      <c r="AK59" t="str">
        <f>IF(LEN($AK$58)&lt;&gt;8,$AK$58,RIGHT($AK$58,4)&amp;" "&amp;MID($AK$58,3,1)&amp;LEFT($AK$58,1))</f>
        <v>2009 Q2</v>
      </c>
      <c r="AL59" t="str">
        <f>IF(LEN($AL$58)&lt;&gt;8,$AL$58,RIGHT($AL$58,4)&amp;" "&amp;MID($AL$58,3,1)&amp;LEFT($AL$58,1))</f>
        <v>2009 Q1</v>
      </c>
      <c r="AM59" t="str">
        <f>IF(LEN($AM$58)&lt;&gt;8,$AM$58,RIGHT($AM$58,4)&amp;" "&amp;MID($AM$58,3,1)&amp;LEFT($AM$58,1))</f>
        <v>2008 Q4</v>
      </c>
      <c r="AN59" t="str">
        <f>IF(LEN($AN$58)&lt;&gt;8,$AN$58,RIGHT($AN$58,4)&amp;" "&amp;MID($AN$58,3,1)&amp;LEFT($AN$58,1))</f>
        <v>2008 Q3</v>
      </c>
      <c r="AO59" t="str">
        <f>IF(LEN($AO$58)&lt;&gt;8,$AO$58,RIGHT($AO$58,4)&amp;" "&amp;MID($AO$58,3,1)&amp;LEFT($AO$58,1))</f>
        <v>2008 Q2</v>
      </c>
      <c r="AP59" t="str">
        <f>IF(LEN($AP$58)&lt;&gt;8,$AP$58,RIGHT($AP$58,4)&amp;" "&amp;MID($AP$58,3,1)&amp;LEFT($AP$58,1))</f>
        <v>2008 Q1</v>
      </c>
      <c r="AQ59" t="str">
        <f>IF(LEN($AQ$58)&lt;&gt;8,$AQ$58,RIGHT($AQ$58,4)&amp;" "&amp;MID($AQ$58,3,1)&amp;LEFT($AQ$58,1))</f>
        <v>2007 Q4</v>
      </c>
      <c r="AR59" t="str">
        <f>IF(LEN($AR$58)&lt;&gt;8,$AR$58,RIGHT($AR$58,4)&amp;" "&amp;MID($AR$58,3,1)&amp;LEFT($AR$58,1))</f>
        <v>2007 Q3</v>
      </c>
      <c r="AS59" t="str">
        <f>IF(LEN($AS$58)&lt;&gt;8,$AS$58,RIGHT($AS$58,4)&amp;" "&amp;MID($AS$58,3,1)&amp;LEFT($AS$58,1))</f>
        <v>2007 Q2</v>
      </c>
      <c r="AT59" t="str">
        <f>IF(LEN($AT$58)&lt;&gt;8,$AT$58,RIGHT($AT$58,4)&amp;" "&amp;MID($AT$58,3,1)&amp;LEFT($AT$58,1))</f>
        <v>2007 Q1</v>
      </c>
      <c r="AU59" t="str">
        <f>IF(LEN($AU$58)&lt;&gt;8,$AU$58,RIGHT($AU$58,4)&amp;" "&amp;MID($AU$58,3,1)&amp;LEFT($AU$58,1))</f>
        <v>2006 Q4</v>
      </c>
      <c r="AV59" t="str">
        <f>IF(LEN($AV$58)&lt;&gt;8,$AV$58,RIGHT($AV$58,4)&amp;" "&amp;MID($AV$58,3,1)&amp;LEFT($AV$58,1))</f>
        <v>2006 Q3</v>
      </c>
      <c r="AW59" t="str">
        <f>IF(LEN($AW$58)&lt;&gt;8,$AW$58,RIGHT($AW$58,4)&amp;" "&amp;MID($AW$58,3,1)&amp;LEFT($AW$58,1))</f>
        <v>2006 Q2</v>
      </c>
      <c r="AX59" t="str">
        <f>IF(LEN($AX$58)&lt;&gt;8,$AX$58,RIGHT($AX$58,4)&amp;" "&amp;MID($AX$58,3,1)&amp;LEFT($AX$58,1))</f>
        <v>2006 Q1</v>
      </c>
      <c r="AY59" t="str">
        <f>IF(LEN($AY$58)&lt;&gt;8,$AY$58,RIGHT($AY$58,4)&amp;" "&amp;MID($AY$58,3,1)&amp;LEFT($AY$58,1))</f>
        <v>2005 Q4</v>
      </c>
      <c r="AZ59" t="str">
        <f>IF(LEN($AZ$58)&lt;&gt;8,$AZ$58,RIGHT($AZ$58,4)&amp;" "&amp;MID($AZ$58,3,1)&amp;LEFT($AZ$58,1))</f>
        <v>2005 Q3</v>
      </c>
      <c r="BA59" t="str">
        <f>IF(LEN($BA$58)&lt;&gt;8,$BA$58,RIGHT($BA$58,4)&amp;" "&amp;MID($BA$58,3,1)&amp;LEFT($BA$58,1))</f>
        <v>2005 Q2</v>
      </c>
      <c r="BB59" t="str">
        <f>IF(LEN($BB$58)&lt;&gt;8,$BB$58,RIGHT($BB$58,4)&amp;" "&amp;MID($BB$58,3,1)&amp;LEFT($BB$58,1))</f>
        <v>2005 Q1</v>
      </c>
      <c r="BC59" t="str">
        <f>IF(LEN($BC$58)&lt;&gt;8,$BC$58,RIGHT($BC$58,4)&amp;" "&amp;MID($BC$58,3,1)&amp;LEFT($BC$58,1))</f>
        <v>2004 Q4</v>
      </c>
      <c r="BD59" t="str">
        <f>IF(LEN($BD$58)&lt;&gt;8,$BD$58,RIGHT($BD$58,4)&amp;" "&amp;MID($BD$58,3,1)&amp;LEFT($BD$58,1))</f>
        <v>2004 Q3</v>
      </c>
      <c r="BE59" t="str">
        <f>IF(LEN($BE$58)&lt;&gt;8,$BE$58,RIGHT($BE$58,4)&amp;" "&amp;MID($BE$58,3,1)&amp;LEFT($BE$58,1))</f>
        <v>2004 Q2</v>
      </c>
      <c r="BF59" t="str">
        <f>IF(LEN($BF$58)&lt;&gt;8,$BF$58,RIGHT($BF$58,4)&amp;" "&amp;MID($BF$58,3,1)&amp;LEFT($BF$58,1))</f>
        <v>2004 Q1</v>
      </c>
      <c r="BG59" t="str">
        <f>IF(LEN($BG$58)&lt;&gt;8,$BG$58,RIGHT($BG$58,4)&amp;" "&amp;MID($BG$58,3,1)&amp;LEFT($BG$58,1))</f>
        <v>2003 Q4</v>
      </c>
      <c r="BH59" t="str">
        <f>IF(LEN($BH$58)&lt;&gt;8,$BH$58,RIGHT($BH$58,4)&amp;" "&amp;MID($BH$58,3,1)&amp;LEFT($BH$58,1))</f>
        <v>2003 Q3</v>
      </c>
      <c r="BI59" t="str">
        <f>IF(LEN($BI$58)&lt;&gt;8,$BI$58,RIGHT($BI$58,4)&amp;" "&amp;MID($BI$58,3,1)&amp;LEFT($BI$58,1))</f>
        <v>2003 Q2</v>
      </c>
      <c r="BJ59" t="str">
        <f>IF(LEN($BJ$58)&lt;&gt;8,$BJ$58,RIGHT($BJ$58,4)&amp;" "&amp;MID($BJ$58,3,1)&amp;LEFT($BJ$58,1))</f>
        <v>2003 Q1</v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"BDH dynamic header0"</f>
        <v>BDH dynamic header0</v>
      </c>
      <c r="B60">
        <f ca="1">IF(OR(ISERROR($C$60),ISBLANK($C$60),ISNUMBER(SEARCH("N/A",$C$60) ),ISERROR($C$61),ISBLANK($C$61)),0,1)</f>
        <v>0</v>
      </c>
      <c r="C60" t="str">
        <f ca="1">BDH($B$31,$C$31,$B$27,$B$28,"PER=CQ","Dts=S","DtFmt=FI", "rows=2","Dir=H","Points=60","Sort=R","Days=A","Fill=B","FX=USD" )</f>
        <v>#N/A Requesting Data...</v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>
      <c r="A61" t="str">
        <f>"BDH dynamic result0"</f>
        <v>BDH dynamic result0</v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>
      <c r="A62" t="str">
        <f>"BDH dynamic header1"</f>
        <v>BDH dynamic header1</v>
      </c>
      <c r="B62">
        <f ca="1">IF(OR(ISERROR($C$62),ISBLANK($C$62),ISNUMBER(SEARCH("N/A",$C$62) ),ISERROR($C$63),ISBLANK($C$63)),0,1)</f>
        <v>0</v>
      </c>
      <c r="C62" t="str">
        <f ca="1">BDH($B$32,$C$32,$B$27,$B$28,"PER=CQ","Dts=S","DtFmt=FI", "rows=2","Dir=H","Points=60","Sort=R","Days=A","Fill=B","FX=USD" )</f>
        <v>#N/A Requesting Data...</v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"BDH dynamic result1"</f>
        <v>BDH dynamic result1</v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>
      <c r="A64" t="str">
        <f>"BDH dynamic header2"</f>
        <v>BDH dynamic header2</v>
      </c>
      <c r="B64">
        <f ca="1">IF(OR(ISERROR($C$64),ISBLANK($C$64),ISNUMBER(SEARCH("N/A",$C$64) ),ISERROR($C$65),ISBLANK($C$65)),0,1)</f>
        <v>0</v>
      </c>
      <c r="C64" t="str">
        <f ca="1">BDH($B$33,$C$33,$B$27,$B$28,"PER=CQ","Dts=S","DtFmt=FI", "rows=2","Dir=H","Points=60","Sort=R","Days=A","Fill=B","FX=USD" )</f>
        <v>#N/A Requesting Data...</v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>
      <c r="A65" t="str">
        <f>"BDH dynamic result2"</f>
        <v>BDH dynamic result2</v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  <c r="CI65" t="str">
        <f>""</f>
        <v/>
      </c>
      <c r="CJ65" t="str">
        <f>""</f>
        <v/>
      </c>
      <c r="CK65" t="str">
        <f>""</f>
        <v/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</row>
    <row r="66" spans="1:125">
      <c r="A66" t="str">
        <f>"BDH dynamic"</f>
        <v>BDH dynamic</v>
      </c>
      <c r="B66">
        <f ca="1">IF($B$60&gt;=1,$B$60,IF($B$62&gt;=1,$B$62,IF($B$64&gt;=1,$B$64,$B$51)))</f>
        <v>2</v>
      </c>
      <c r="C66" t="str">
        <f ca="1">IF($B$60&gt;=1,$C$60,IF($B$62&gt;=1,$C$62,IF($B$64&gt;=1,$C$64,$C$51)))</f>
        <v>2017 Q4</v>
      </c>
      <c r="D66" t="str">
        <f ca="1">IF($B$60&gt;=1,$D$60,IF($B$62&gt;=1,$D$62,IF($B$64&gt;=1,$D$64,$D$51)))</f>
        <v>2017 Q3</v>
      </c>
      <c r="E66" t="str">
        <f ca="1">IF($B$60&gt;=1,$E$60,IF($B$62&gt;=1,$E$62,IF($B$64&gt;=1,$E$64,$E$51)))</f>
        <v>2017 Q2</v>
      </c>
      <c r="F66" t="str">
        <f ca="1">IF($B$60&gt;=1,$F$60,IF($B$62&gt;=1,$F$62,IF($B$64&gt;=1,$F$64,$F$51)))</f>
        <v>2017 Q1</v>
      </c>
      <c r="G66" t="str">
        <f ca="1">IF($B$60&gt;=1,$G$60,IF($B$62&gt;=1,$G$62,IF($B$64&gt;=1,$G$64,$G$51)))</f>
        <v>2016 Q4</v>
      </c>
      <c r="H66" t="str">
        <f ca="1">IF($B$60&gt;=1,$H$60,IF($B$62&gt;=1,$H$62,IF($B$64&gt;=1,$H$64,$H$51)))</f>
        <v>2016 Q3</v>
      </c>
      <c r="I66" t="str">
        <f ca="1">IF($B$60&gt;=1,$I$60,IF($B$62&gt;=1,$I$62,IF($B$64&gt;=1,$I$64,$I$51)))</f>
        <v>2016 Q2</v>
      </c>
      <c r="J66" t="str">
        <f ca="1">IF($B$60&gt;=1,$J$60,IF($B$62&gt;=1,$J$62,IF($B$64&gt;=1,$J$64,$J$51)))</f>
        <v>2016 Q1</v>
      </c>
      <c r="K66" t="str">
        <f ca="1">IF($B$60&gt;=1,$K$60,IF($B$62&gt;=1,$K$62,IF($B$64&gt;=1,$K$64,$K$51)))</f>
        <v>2015 Q4</v>
      </c>
      <c r="L66" t="str">
        <f ca="1">IF($B$60&gt;=1,$L$60,IF($B$62&gt;=1,$L$62,IF($B$64&gt;=1,$L$64,$L$51)))</f>
        <v>2015 Q3</v>
      </c>
      <c r="M66" t="str">
        <f ca="1">IF($B$60&gt;=1,$M$60,IF($B$62&gt;=1,$M$62,IF($B$64&gt;=1,$M$64,$M$51)))</f>
        <v>2015 Q2</v>
      </c>
      <c r="N66" t="str">
        <f ca="1">IF($B$60&gt;=1,$N$60,IF($B$62&gt;=1,$N$62,IF($B$64&gt;=1,$N$64,$N$51)))</f>
        <v>2015 Q1</v>
      </c>
      <c r="O66" t="str">
        <f ca="1">IF($B$60&gt;=1,$O$60,IF($B$62&gt;=1,$O$62,IF($B$64&gt;=1,$O$64,$O$51)))</f>
        <v>2014 Q4</v>
      </c>
      <c r="P66" t="str">
        <f ca="1">IF($B$60&gt;=1,$P$60,IF($B$62&gt;=1,$P$62,IF($B$64&gt;=1,$P$64,$P$51)))</f>
        <v>2014 Q3</v>
      </c>
      <c r="Q66" t="str">
        <f ca="1">IF($B$60&gt;=1,$Q$60,IF($B$62&gt;=1,$Q$62,IF($B$64&gt;=1,$Q$64,$Q$51)))</f>
        <v>2014 Q2</v>
      </c>
      <c r="R66" t="str">
        <f ca="1">IF($B$60&gt;=1,$R$60,IF($B$62&gt;=1,$R$62,IF($B$64&gt;=1,$R$64,$R$51)))</f>
        <v>2014 Q1</v>
      </c>
      <c r="S66" t="str">
        <f ca="1">IF($B$60&gt;=1,$S$60,IF($B$62&gt;=1,$S$62,IF($B$64&gt;=1,$S$64,$S$51)))</f>
        <v>2013 Q4</v>
      </c>
      <c r="T66" t="str">
        <f ca="1">IF($B$60&gt;=1,$T$60,IF($B$62&gt;=1,$T$62,IF($B$64&gt;=1,$T$64,$T$51)))</f>
        <v>2013 Q3</v>
      </c>
      <c r="U66" t="str">
        <f ca="1">IF($B$60&gt;=1,$U$60,IF($B$62&gt;=1,$U$62,IF($B$64&gt;=1,$U$64,$U$51)))</f>
        <v>2013 Q2</v>
      </c>
      <c r="V66" t="str">
        <f ca="1">IF($B$60&gt;=1,$V$60,IF($B$62&gt;=1,$V$62,IF($B$64&gt;=1,$V$64,$V$51)))</f>
        <v>2013 Q1</v>
      </c>
      <c r="W66" t="str">
        <f ca="1">IF($B$60&gt;=1,$W$60,IF($B$62&gt;=1,$W$62,IF($B$64&gt;=1,$W$64,$W$51)))</f>
        <v>2012 Q4</v>
      </c>
      <c r="X66" t="str">
        <f ca="1">IF($B$60&gt;=1,$X$60,IF($B$62&gt;=1,$X$62,IF($B$64&gt;=1,$X$64,$X$51)))</f>
        <v>2012 Q3</v>
      </c>
      <c r="Y66" t="str">
        <f ca="1">IF($B$60&gt;=1,$Y$60,IF($B$62&gt;=1,$Y$62,IF($B$64&gt;=1,$Y$64,$Y$51)))</f>
        <v>2012 Q2</v>
      </c>
      <c r="Z66" t="str">
        <f ca="1">IF($B$60&gt;=1,$Z$60,IF($B$62&gt;=1,$Z$62,IF($B$64&gt;=1,$Z$64,$Z$51)))</f>
        <v>2012 Q1</v>
      </c>
      <c r="AA66" t="str">
        <f ca="1">IF($B$60&gt;=1,$AA$60,IF($B$62&gt;=1,$AA$62,IF($B$64&gt;=1,$AA$64,$AA$51)))</f>
        <v>2011 Q4</v>
      </c>
      <c r="AB66" t="str">
        <f ca="1">IF($B$60&gt;=1,$AB$60,IF($B$62&gt;=1,$AB$62,IF($B$64&gt;=1,$AB$64,$AB$51)))</f>
        <v>2011 Q3</v>
      </c>
      <c r="AC66" t="str">
        <f ca="1">IF($B$60&gt;=1,$AC$60,IF($B$62&gt;=1,$AC$62,IF($B$64&gt;=1,$AC$64,$AC$51)))</f>
        <v>2011 Q2</v>
      </c>
      <c r="AD66" t="str">
        <f ca="1">IF($B$60&gt;=1,$AD$60,IF($B$62&gt;=1,$AD$62,IF($B$64&gt;=1,$AD$64,$AD$51)))</f>
        <v>2011 Q1</v>
      </c>
      <c r="AE66" t="str">
        <f ca="1">IF($B$60&gt;=1,$AE$60,IF($B$62&gt;=1,$AE$62,IF($B$64&gt;=1,$AE$64,$AE$51)))</f>
        <v>2010 Q4</v>
      </c>
      <c r="AF66" t="str">
        <f ca="1">IF($B$60&gt;=1,$AF$60,IF($B$62&gt;=1,$AF$62,IF($B$64&gt;=1,$AF$64,$AF$51)))</f>
        <v>2010 Q3</v>
      </c>
      <c r="AG66" t="str">
        <f ca="1">IF($B$60&gt;=1,$AG$60,IF($B$62&gt;=1,$AG$62,IF($B$64&gt;=1,$AG$64,$AG$51)))</f>
        <v>2010 Q2</v>
      </c>
      <c r="AH66" t="str">
        <f ca="1">IF($B$60&gt;=1,$AH$60,IF($B$62&gt;=1,$AH$62,IF($B$64&gt;=1,$AH$64,$AH$51)))</f>
        <v>2010 Q1</v>
      </c>
      <c r="AI66" t="str">
        <f ca="1">IF($B$60&gt;=1,$AI$60,IF($B$62&gt;=1,$AI$62,IF($B$64&gt;=1,$AI$64,$AI$51)))</f>
        <v>2009 Q4</v>
      </c>
      <c r="AJ66" t="str">
        <f ca="1">IF($B$60&gt;=1,$AJ$60,IF($B$62&gt;=1,$AJ$62,IF($B$64&gt;=1,$AJ$64,$AJ$51)))</f>
        <v>2009 Q3</v>
      </c>
      <c r="AK66" t="str">
        <f ca="1">IF($B$60&gt;=1,$AK$60,IF($B$62&gt;=1,$AK$62,IF($B$64&gt;=1,$AK$64,$AK$51)))</f>
        <v>2009 Q2</v>
      </c>
      <c r="AL66" t="str">
        <f ca="1">IF($B$60&gt;=1,$AL$60,IF($B$62&gt;=1,$AL$62,IF($B$64&gt;=1,$AL$64,$AL$51)))</f>
        <v>2009 Q1</v>
      </c>
      <c r="AM66" t="str">
        <f ca="1">IF($B$60&gt;=1,$AM$60,IF($B$62&gt;=1,$AM$62,IF($B$64&gt;=1,$AM$64,$AM$51)))</f>
        <v>2008 Q4</v>
      </c>
      <c r="AN66" t="str">
        <f ca="1">IF($B$60&gt;=1,$AN$60,IF($B$62&gt;=1,$AN$62,IF($B$64&gt;=1,$AN$64,$AN$51)))</f>
        <v>2008 Q3</v>
      </c>
      <c r="AO66" t="str">
        <f ca="1">IF($B$60&gt;=1,$AO$60,IF($B$62&gt;=1,$AO$62,IF($B$64&gt;=1,$AO$64,$AO$51)))</f>
        <v>2008 Q2</v>
      </c>
      <c r="AP66" t="str">
        <f ca="1">IF($B$60&gt;=1,$AP$60,IF($B$62&gt;=1,$AP$62,IF($B$64&gt;=1,$AP$64,$AP$51)))</f>
        <v>2008 Q1</v>
      </c>
      <c r="AQ66" t="str">
        <f ca="1">IF($B$60&gt;=1,$AQ$60,IF($B$62&gt;=1,$AQ$62,IF($B$64&gt;=1,$AQ$64,$AQ$51)))</f>
        <v>2007 Q4</v>
      </c>
      <c r="AR66" t="str">
        <f ca="1">IF($B$60&gt;=1,$AR$60,IF($B$62&gt;=1,$AR$62,IF($B$64&gt;=1,$AR$64,$AR$51)))</f>
        <v>2007 Q3</v>
      </c>
      <c r="AS66" t="str">
        <f ca="1">IF($B$60&gt;=1,$AS$60,IF($B$62&gt;=1,$AS$62,IF($B$64&gt;=1,$AS$64,$AS$51)))</f>
        <v>2007 Q2</v>
      </c>
      <c r="AT66" t="str">
        <f ca="1">IF($B$60&gt;=1,$AT$60,IF($B$62&gt;=1,$AT$62,IF($B$64&gt;=1,$AT$64,$AT$51)))</f>
        <v>2007 Q1</v>
      </c>
      <c r="AU66" t="str">
        <f ca="1">IF($B$60&gt;=1,$AU$60,IF($B$62&gt;=1,$AU$62,IF($B$64&gt;=1,$AU$64,$AU$51)))</f>
        <v>2006 Q4</v>
      </c>
      <c r="AV66" t="str">
        <f ca="1">IF($B$60&gt;=1,$AV$60,IF($B$62&gt;=1,$AV$62,IF($B$64&gt;=1,$AV$64,$AV$51)))</f>
        <v>2006 Q3</v>
      </c>
      <c r="AW66" t="str">
        <f ca="1">IF($B$60&gt;=1,$AW$60,IF($B$62&gt;=1,$AW$62,IF($B$64&gt;=1,$AW$64,$AW$51)))</f>
        <v>2006 Q2</v>
      </c>
      <c r="AX66" t="str">
        <f ca="1">IF($B$60&gt;=1,$AX$60,IF($B$62&gt;=1,$AX$62,IF($B$64&gt;=1,$AX$64,$AX$51)))</f>
        <v>2006 Q1</v>
      </c>
      <c r="AY66" t="str">
        <f ca="1">IF($B$60&gt;=1,$AY$60,IF($B$62&gt;=1,$AY$62,IF($B$64&gt;=1,$AY$64,$AY$51)))</f>
        <v>2005 Q4</v>
      </c>
      <c r="AZ66" t="str">
        <f ca="1">IF($B$60&gt;=1,$AZ$60,IF($B$62&gt;=1,$AZ$62,IF($B$64&gt;=1,$AZ$64,$AZ$51)))</f>
        <v>2005 Q3</v>
      </c>
      <c r="BA66" t="str">
        <f ca="1">IF($B$60&gt;=1,$BA$60,IF($B$62&gt;=1,$BA$62,IF($B$64&gt;=1,$BA$64,$BA$51)))</f>
        <v>2005 Q2</v>
      </c>
      <c r="BB66" t="str">
        <f ca="1">IF($B$60&gt;=1,$BB$60,IF($B$62&gt;=1,$BB$62,IF($B$64&gt;=1,$BB$64,$BB$51)))</f>
        <v>2005 Q1</v>
      </c>
      <c r="BC66" t="str">
        <f ca="1">IF($B$60&gt;=1,$BC$60,IF($B$62&gt;=1,$BC$62,IF($B$64&gt;=1,$BC$64,$BC$51)))</f>
        <v>2004 Q4</v>
      </c>
      <c r="BD66" t="str">
        <f ca="1">IF($B$60&gt;=1,$BD$60,IF($B$62&gt;=1,$BD$62,IF($B$64&gt;=1,$BD$64,$BD$51)))</f>
        <v>2004 Q3</v>
      </c>
      <c r="BE66" t="str">
        <f ca="1">IF($B$60&gt;=1,$BE$60,IF($B$62&gt;=1,$BE$62,IF($B$64&gt;=1,$BE$64,$BE$51)))</f>
        <v>2004 Q2</v>
      </c>
      <c r="BF66" t="str">
        <f ca="1">IF($B$60&gt;=1,$BF$60,IF($B$62&gt;=1,$BF$62,IF($B$64&gt;=1,$BF$64,$BF$51)))</f>
        <v>2004 Q1</v>
      </c>
      <c r="BG66" t="str">
        <f ca="1">IF($B$60&gt;=1,$BG$60,IF($B$62&gt;=1,$BG$62,IF($B$64&gt;=1,$BG$64,$BG$51)))</f>
        <v>2003 Q4</v>
      </c>
      <c r="BH66" t="str">
        <f ca="1">IF($B$60&gt;=1,$BH$60,IF($B$62&gt;=1,$BH$62,IF($B$64&gt;=1,$BH$64,$BH$51)))</f>
        <v>2003 Q3</v>
      </c>
      <c r="BI66" t="str">
        <f ca="1">IF($B$60&gt;=1,$BI$60,IF($B$62&gt;=1,$BI$62,IF($B$64&gt;=1,$BI$64,$BI$51)))</f>
        <v>2003 Q2</v>
      </c>
      <c r="BJ66" t="str">
        <f ca="1">IF($B$60&gt;=1,$BJ$60,IF($B$62&gt;=1,$BJ$62,IF($B$64&gt;=1,$BJ$64,$BJ$51)))</f>
        <v>2003 Q1</v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>
      <c r="A67" t="str">
        <f>"BDH dynamic title"</f>
        <v>BDH dynamic title</v>
      </c>
      <c r="B67">
        <f ca="1">$B$66</f>
        <v>2</v>
      </c>
      <c r="C67" t="str">
        <f ca="1">IF(LEN($C$66)&lt;&gt;8,$C$66,RIGHT($C$66,4)&amp;" "&amp;MID($C$66,3,1)&amp;LEFT($C$66,1))</f>
        <v>2017 Q4</v>
      </c>
      <c r="D67" t="str">
        <f ca="1">IF(LEN($D$66)&lt;&gt;8,$D$66,RIGHT($D$66,4)&amp;" "&amp;MID($D$66,3,1)&amp;LEFT($D$66,1))</f>
        <v>2017 Q3</v>
      </c>
      <c r="E67" t="str">
        <f ca="1">IF(LEN($E$66)&lt;&gt;8,$E$66,RIGHT($E$66,4)&amp;" "&amp;MID($E$66,3,1)&amp;LEFT($E$66,1))</f>
        <v>2017 Q2</v>
      </c>
      <c r="F67" t="str">
        <f ca="1">IF(LEN($F$66)&lt;&gt;8,$F$66,RIGHT($F$66,4)&amp;" "&amp;MID($F$66,3,1)&amp;LEFT($F$66,1))</f>
        <v>2017 Q1</v>
      </c>
      <c r="G67" t="str">
        <f ca="1">IF(LEN($G$66)&lt;&gt;8,$G$66,RIGHT($G$66,4)&amp;" "&amp;MID($G$66,3,1)&amp;LEFT($G$66,1))</f>
        <v>2016 Q4</v>
      </c>
      <c r="H67" t="str">
        <f ca="1">IF(LEN($H$66)&lt;&gt;8,$H$66,RIGHT($H$66,4)&amp;" "&amp;MID($H$66,3,1)&amp;LEFT($H$66,1))</f>
        <v>2016 Q3</v>
      </c>
      <c r="I67" t="str">
        <f ca="1">IF(LEN($I$66)&lt;&gt;8,$I$66,RIGHT($I$66,4)&amp;" "&amp;MID($I$66,3,1)&amp;LEFT($I$66,1))</f>
        <v>2016 Q2</v>
      </c>
      <c r="J67" t="str">
        <f ca="1">IF(LEN($J$66)&lt;&gt;8,$J$66,RIGHT($J$66,4)&amp;" "&amp;MID($J$66,3,1)&amp;LEFT($J$66,1))</f>
        <v>2016 Q1</v>
      </c>
      <c r="K67" t="str">
        <f ca="1">IF(LEN($K$66)&lt;&gt;8,$K$66,RIGHT($K$66,4)&amp;" "&amp;MID($K$66,3,1)&amp;LEFT($K$66,1))</f>
        <v>2015 Q4</v>
      </c>
      <c r="L67" t="str">
        <f ca="1">IF(LEN($L$66)&lt;&gt;8,$L$66,RIGHT($L$66,4)&amp;" "&amp;MID($L$66,3,1)&amp;LEFT($L$66,1))</f>
        <v>2015 Q3</v>
      </c>
      <c r="M67" t="str">
        <f ca="1">IF(LEN($M$66)&lt;&gt;8,$M$66,RIGHT($M$66,4)&amp;" "&amp;MID($M$66,3,1)&amp;LEFT($M$66,1))</f>
        <v>2015 Q2</v>
      </c>
      <c r="N67" t="str">
        <f ca="1">IF(LEN($N$66)&lt;&gt;8,$N$66,RIGHT($N$66,4)&amp;" "&amp;MID($N$66,3,1)&amp;LEFT($N$66,1))</f>
        <v>2015 Q1</v>
      </c>
      <c r="O67" t="str">
        <f ca="1">IF(LEN($O$66)&lt;&gt;8,$O$66,RIGHT($O$66,4)&amp;" "&amp;MID($O$66,3,1)&amp;LEFT($O$66,1))</f>
        <v>2014 Q4</v>
      </c>
      <c r="P67" t="str">
        <f ca="1">IF(LEN($P$66)&lt;&gt;8,$P$66,RIGHT($P$66,4)&amp;" "&amp;MID($P$66,3,1)&amp;LEFT($P$66,1))</f>
        <v>2014 Q3</v>
      </c>
      <c r="Q67" t="str">
        <f ca="1">IF(LEN($Q$66)&lt;&gt;8,$Q$66,RIGHT($Q$66,4)&amp;" "&amp;MID($Q$66,3,1)&amp;LEFT($Q$66,1))</f>
        <v>2014 Q2</v>
      </c>
      <c r="R67" t="str">
        <f ca="1">IF(LEN($R$66)&lt;&gt;8,$R$66,RIGHT($R$66,4)&amp;" "&amp;MID($R$66,3,1)&amp;LEFT($R$66,1))</f>
        <v>2014 Q1</v>
      </c>
      <c r="S67" t="str">
        <f ca="1">IF(LEN($S$66)&lt;&gt;8,$S$66,RIGHT($S$66,4)&amp;" "&amp;MID($S$66,3,1)&amp;LEFT($S$66,1))</f>
        <v>2013 Q4</v>
      </c>
      <c r="T67" t="str">
        <f ca="1">IF(LEN($T$66)&lt;&gt;8,$T$66,RIGHT($T$66,4)&amp;" "&amp;MID($T$66,3,1)&amp;LEFT($T$66,1))</f>
        <v>2013 Q3</v>
      </c>
      <c r="U67" t="str">
        <f ca="1">IF(LEN($U$66)&lt;&gt;8,$U$66,RIGHT($U$66,4)&amp;" "&amp;MID($U$66,3,1)&amp;LEFT($U$66,1))</f>
        <v>2013 Q2</v>
      </c>
      <c r="V67" t="str">
        <f ca="1">IF(LEN($V$66)&lt;&gt;8,$V$66,RIGHT($V$66,4)&amp;" "&amp;MID($V$66,3,1)&amp;LEFT($V$66,1))</f>
        <v>2013 Q1</v>
      </c>
      <c r="W67" t="str">
        <f ca="1">IF(LEN($W$66)&lt;&gt;8,$W$66,RIGHT($W$66,4)&amp;" "&amp;MID($W$66,3,1)&amp;LEFT($W$66,1))</f>
        <v>2012 Q4</v>
      </c>
      <c r="X67" t="str">
        <f ca="1">IF(LEN($X$66)&lt;&gt;8,$X$66,RIGHT($X$66,4)&amp;" "&amp;MID($X$66,3,1)&amp;LEFT($X$66,1))</f>
        <v>2012 Q3</v>
      </c>
      <c r="Y67" t="str">
        <f ca="1">IF(LEN($Y$66)&lt;&gt;8,$Y$66,RIGHT($Y$66,4)&amp;" "&amp;MID($Y$66,3,1)&amp;LEFT($Y$66,1))</f>
        <v>2012 Q2</v>
      </c>
      <c r="Z67" t="str">
        <f ca="1">IF(LEN($Z$66)&lt;&gt;8,$Z$66,RIGHT($Z$66,4)&amp;" "&amp;MID($Z$66,3,1)&amp;LEFT($Z$66,1))</f>
        <v>2012 Q1</v>
      </c>
      <c r="AA67" t="str">
        <f ca="1">IF(LEN($AA$66)&lt;&gt;8,$AA$66,RIGHT($AA$66,4)&amp;" "&amp;MID($AA$66,3,1)&amp;LEFT($AA$66,1))</f>
        <v>2011 Q4</v>
      </c>
      <c r="AB67" t="str">
        <f ca="1">IF(LEN($AB$66)&lt;&gt;8,$AB$66,RIGHT($AB$66,4)&amp;" "&amp;MID($AB$66,3,1)&amp;LEFT($AB$66,1))</f>
        <v>2011 Q3</v>
      </c>
      <c r="AC67" t="str">
        <f ca="1">IF(LEN($AC$66)&lt;&gt;8,$AC$66,RIGHT($AC$66,4)&amp;" "&amp;MID($AC$66,3,1)&amp;LEFT($AC$66,1))</f>
        <v>2011 Q2</v>
      </c>
      <c r="AD67" t="str">
        <f ca="1">IF(LEN($AD$66)&lt;&gt;8,$AD$66,RIGHT($AD$66,4)&amp;" "&amp;MID($AD$66,3,1)&amp;LEFT($AD$66,1))</f>
        <v>2011 Q1</v>
      </c>
      <c r="AE67" t="str">
        <f ca="1">IF(LEN($AE$66)&lt;&gt;8,$AE$66,RIGHT($AE$66,4)&amp;" "&amp;MID($AE$66,3,1)&amp;LEFT($AE$66,1))</f>
        <v>2010 Q4</v>
      </c>
      <c r="AF67" t="str">
        <f ca="1">IF(LEN($AF$66)&lt;&gt;8,$AF$66,RIGHT($AF$66,4)&amp;" "&amp;MID($AF$66,3,1)&amp;LEFT($AF$66,1))</f>
        <v>2010 Q3</v>
      </c>
      <c r="AG67" t="str">
        <f ca="1">IF(LEN($AG$66)&lt;&gt;8,$AG$66,RIGHT($AG$66,4)&amp;" "&amp;MID($AG$66,3,1)&amp;LEFT($AG$66,1))</f>
        <v>2010 Q2</v>
      </c>
      <c r="AH67" t="str">
        <f ca="1">IF(LEN($AH$66)&lt;&gt;8,$AH$66,RIGHT($AH$66,4)&amp;" "&amp;MID($AH$66,3,1)&amp;LEFT($AH$66,1))</f>
        <v>2010 Q1</v>
      </c>
      <c r="AI67" t="str">
        <f ca="1">IF(LEN($AI$66)&lt;&gt;8,$AI$66,RIGHT($AI$66,4)&amp;" "&amp;MID($AI$66,3,1)&amp;LEFT($AI$66,1))</f>
        <v>2009 Q4</v>
      </c>
      <c r="AJ67" t="str">
        <f ca="1">IF(LEN($AJ$66)&lt;&gt;8,$AJ$66,RIGHT($AJ$66,4)&amp;" "&amp;MID($AJ$66,3,1)&amp;LEFT($AJ$66,1))</f>
        <v>2009 Q3</v>
      </c>
      <c r="AK67" t="str">
        <f ca="1">IF(LEN($AK$66)&lt;&gt;8,$AK$66,RIGHT($AK$66,4)&amp;" "&amp;MID($AK$66,3,1)&amp;LEFT($AK$66,1))</f>
        <v>2009 Q2</v>
      </c>
      <c r="AL67" t="str">
        <f ca="1">IF(LEN($AL$66)&lt;&gt;8,$AL$66,RIGHT($AL$66,4)&amp;" "&amp;MID($AL$66,3,1)&amp;LEFT($AL$66,1))</f>
        <v>2009 Q1</v>
      </c>
      <c r="AM67" t="str">
        <f ca="1">IF(LEN($AM$66)&lt;&gt;8,$AM$66,RIGHT($AM$66,4)&amp;" "&amp;MID($AM$66,3,1)&amp;LEFT($AM$66,1))</f>
        <v>2008 Q4</v>
      </c>
      <c r="AN67" t="str">
        <f ca="1">IF(LEN($AN$66)&lt;&gt;8,$AN$66,RIGHT($AN$66,4)&amp;" "&amp;MID($AN$66,3,1)&amp;LEFT($AN$66,1))</f>
        <v>2008 Q3</v>
      </c>
      <c r="AO67" t="str">
        <f ca="1">IF(LEN($AO$66)&lt;&gt;8,$AO$66,RIGHT($AO$66,4)&amp;" "&amp;MID($AO$66,3,1)&amp;LEFT($AO$66,1))</f>
        <v>2008 Q2</v>
      </c>
      <c r="AP67" t="str">
        <f ca="1">IF(LEN($AP$66)&lt;&gt;8,$AP$66,RIGHT($AP$66,4)&amp;" "&amp;MID($AP$66,3,1)&amp;LEFT($AP$66,1))</f>
        <v>2008 Q1</v>
      </c>
      <c r="AQ67" t="str">
        <f ca="1">IF(LEN($AQ$66)&lt;&gt;8,$AQ$66,RIGHT($AQ$66,4)&amp;" "&amp;MID($AQ$66,3,1)&amp;LEFT($AQ$66,1))</f>
        <v>2007 Q4</v>
      </c>
      <c r="AR67" t="str">
        <f ca="1">IF(LEN($AR$66)&lt;&gt;8,$AR$66,RIGHT($AR$66,4)&amp;" "&amp;MID($AR$66,3,1)&amp;LEFT($AR$66,1))</f>
        <v>2007 Q3</v>
      </c>
      <c r="AS67" t="str">
        <f ca="1">IF(LEN($AS$66)&lt;&gt;8,$AS$66,RIGHT($AS$66,4)&amp;" "&amp;MID($AS$66,3,1)&amp;LEFT($AS$66,1))</f>
        <v>2007 Q2</v>
      </c>
      <c r="AT67" t="str">
        <f ca="1">IF(LEN($AT$66)&lt;&gt;8,$AT$66,RIGHT($AT$66,4)&amp;" "&amp;MID($AT$66,3,1)&amp;LEFT($AT$66,1))</f>
        <v>2007 Q1</v>
      </c>
      <c r="AU67" t="str">
        <f ca="1">IF(LEN($AU$66)&lt;&gt;8,$AU$66,RIGHT($AU$66,4)&amp;" "&amp;MID($AU$66,3,1)&amp;LEFT($AU$66,1))</f>
        <v>2006 Q4</v>
      </c>
      <c r="AV67" t="str">
        <f ca="1">IF(LEN($AV$66)&lt;&gt;8,$AV$66,RIGHT($AV$66,4)&amp;" "&amp;MID($AV$66,3,1)&amp;LEFT($AV$66,1))</f>
        <v>2006 Q3</v>
      </c>
      <c r="AW67" t="str">
        <f ca="1">IF(LEN($AW$66)&lt;&gt;8,$AW$66,RIGHT($AW$66,4)&amp;" "&amp;MID($AW$66,3,1)&amp;LEFT($AW$66,1))</f>
        <v>2006 Q2</v>
      </c>
      <c r="AX67" t="str">
        <f ca="1">IF(LEN($AX$66)&lt;&gt;8,$AX$66,RIGHT($AX$66,4)&amp;" "&amp;MID($AX$66,3,1)&amp;LEFT($AX$66,1))</f>
        <v>2006 Q1</v>
      </c>
      <c r="AY67" t="str">
        <f ca="1">IF(LEN($AY$66)&lt;&gt;8,$AY$66,RIGHT($AY$66,4)&amp;" "&amp;MID($AY$66,3,1)&amp;LEFT($AY$66,1))</f>
        <v>2005 Q4</v>
      </c>
      <c r="AZ67" t="str">
        <f ca="1">IF(LEN($AZ$66)&lt;&gt;8,$AZ$66,RIGHT($AZ$66,4)&amp;" "&amp;MID($AZ$66,3,1)&amp;LEFT($AZ$66,1))</f>
        <v>2005 Q3</v>
      </c>
      <c r="BA67" t="str">
        <f ca="1">IF(LEN($BA$66)&lt;&gt;8,$BA$66,RIGHT($BA$66,4)&amp;" "&amp;MID($BA$66,3,1)&amp;LEFT($BA$66,1))</f>
        <v>2005 Q2</v>
      </c>
      <c r="BB67" t="str">
        <f ca="1">IF(LEN($BB$66)&lt;&gt;8,$BB$66,RIGHT($BB$66,4)&amp;" "&amp;MID($BB$66,3,1)&amp;LEFT($BB$66,1))</f>
        <v>2005 Q1</v>
      </c>
      <c r="BC67" t="str">
        <f ca="1">IF(LEN($BC$66)&lt;&gt;8,$BC$66,RIGHT($BC$66,4)&amp;" "&amp;MID($BC$66,3,1)&amp;LEFT($BC$66,1))</f>
        <v>2004 Q4</v>
      </c>
      <c r="BD67" t="str">
        <f ca="1">IF(LEN($BD$66)&lt;&gt;8,$BD$66,RIGHT($BD$66,4)&amp;" "&amp;MID($BD$66,3,1)&amp;LEFT($BD$66,1))</f>
        <v>2004 Q3</v>
      </c>
      <c r="BE67" t="str">
        <f ca="1">IF(LEN($BE$66)&lt;&gt;8,$BE$66,RIGHT($BE$66,4)&amp;" "&amp;MID($BE$66,3,1)&amp;LEFT($BE$66,1))</f>
        <v>2004 Q2</v>
      </c>
      <c r="BF67" t="str">
        <f ca="1">IF(LEN($BF$66)&lt;&gt;8,$BF$66,RIGHT($BF$66,4)&amp;" "&amp;MID($BF$66,3,1)&amp;LEFT($BF$66,1))</f>
        <v>2004 Q1</v>
      </c>
      <c r="BG67" t="str">
        <f ca="1">IF(LEN($BG$66)&lt;&gt;8,$BG$66,RIGHT($BG$66,4)&amp;" "&amp;MID($BG$66,3,1)&amp;LEFT($BG$66,1))</f>
        <v>2003 Q4</v>
      </c>
      <c r="BH67" t="str">
        <f ca="1">IF(LEN($BH$66)&lt;&gt;8,$BH$66,RIGHT($BH$66,4)&amp;" "&amp;MID($BH$66,3,1)&amp;LEFT($BH$66,1))</f>
        <v>2003 Q3</v>
      </c>
      <c r="BI67" t="str">
        <f ca="1">IF(LEN($BI$66)&lt;&gt;8,$BI$66,RIGHT($BI$66,4)&amp;" "&amp;MID($BI$66,3,1)&amp;LEFT($BI$66,1))</f>
        <v>2003 Q2</v>
      </c>
      <c r="BJ67" t="str">
        <f ca="1">IF(LEN($BJ$66)&lt;&gt;8,$BJ$66,RIGHT($BJ$66,4)&amp;" "&amp;MID($BJ$66,3,1)&amp;LEFT($BJ$66,1))</f>
        <v>2003 Q1</v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  <c r="CH67" t="str">
        <f>""</f>
        <v/>
      </c>
      <c r="CI67" t="str">
        <f>""</f>
        <v/>
      </c>
      <c r="CJ67" t="str">
        <f>""</f>
        <v/>
      </c>
      <c r="CK67" t="str">
        <f>""</f>
        <v/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</row>
    <row r="68" spans="1:125">
      <c r="A68" t="str">
        <f>"No error found"</f>
        <v>No error found</v>
      </c>
      <c r="B68" t="str">
        <f>""</f>
        <v/>
      </c>
      <c r="C68" t="str">
        <f>""</f>
        <v/>
      </c>
      <c r="D68" t="str">
        <f>""</f>
        <v/>
      </c>
      <c r="E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2018-03-14T02:51:14Z</dcterms:modified>
</cp:coreProperties>
</file>