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volatileDependencies.xml" ContentType="application/vnd.openxmlformats-officedocument.spreadsheetml.volatileDependenc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BIData" sheetId="2" r:id="rId1"/>
    <sheet name="ReferenceData" sheetId="3" r:id="rId2"/>
    <sheet name="帮助-参考" sheetId="4" r:id="rId3"/>
  </sheets>
  <calcPr calcId="124519"/>
</workbook>
</file>

<file path=xl/calcChain.xml><?xml version="1.0" encoding="utf-8"?>
<calcChain xmlns="http://schemas.openxmlformats.org/spreadsheetml/2006/main">
  <c r="DU67" i="3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B67"/>
  <c r="CA67"/>
  <c r="BZ67"/>
  <c r="BY67"/>
  <c r="BX67"/>
  <c r="BW67"/>
  <c r="BV67"/>
  <c r="BU67"/>
  <c r="BT67"/>
  <c r="BS67"/>
  <c r="BR67"/>
  <c r="BQ67"/>
  <c r="BP67"/>
  <c r="BO67"/>
  <c r="BN67"/>
  <c r="E67"/>
  <c r="D67"/>
  <c r="C67"/>
  <c r="B67"/>
  <c r="A67"/>
  <c r="DU66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G66"/>
  <c r="CF66"/>
  <c r="CE66"/>
  <c r="CD66"/>
  <c r="CC66"/>
  <c r="CB66"/>
  <c r="CA66"/>
  <c r="BZ66"/>
  <c r="BY66"/>
  <c r="BX66"/>
  <c r="BW66"/>
  <c r="BV66"/>
  <c r="BU66"/>
  <c r="BT66"/>
  <c r="BS66"/>
  <c r="BR66"/>
  <c r="BQ66"/>
  <c r="BP66"/>
  <c r="BO66"/>
  <c r="BN66"/>
  <c r="A66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Z65"/>
  <c r="BY65"/>
  <c r="BX65"/>
  <c r="BW65"/>
  <c r="BV65"/>
  <c r="BU65"/>
  <c r="BT65"/>
  <c r="BS65"/>
  <c r="BR65"/>
  <c r="BQ65"/>
  <c r="BP65"/>
  <c r="BO65"/>
  <c r="BN65"/>
  <c r="A65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Y64"/>
  <c r="BX64"/>
  <c r="BW64"/>
  <c r="BV64"/>
  <c r="BU64"/>
  <c r="BT64"/>
  <c r="BS64"/>
  <c r="BR64"/>
  <c r="BQ64"/>
  <c r="BP64"/>
  <c r="BO64"/>
  <c r="BN64"/>
  <c r="A64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BW63"/>
  <c r="BV63"/>
  <c r="BU63"/>
  <c r="BT63"/>
  <c r="BS63"/>
  <c r="BR63"/>
  <c r="BQ63"/>
  <c r="BP63"/>
  <c r="BO63"/>
  <c r="BN63"/>
  <c r="A63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Q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BW62"/>
  <c r="BV62"/>
  <c r="BU62"/>
  <c r="BT62"/>
  <c r="BS62"/>
  <c r="BR62"/>
  <c r="BQ62"/>
  <c r="BP62"/>
  <c r="BO62"/>
  <c r="BN62"/>
  <c r="A62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Q61"/>
  <c r="CP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BX61"/>
  <c r="BW61"/>
  <c r="BV61"/>
  <c r="BU61"/>
  <c r="BT61"/>
  <c r="BS61"/>
  <c r="BR61"/>
  <c r="BQ61"/>
  <c r="BP61"/>
  <c r="BO61"/>
  <c r="BN61"/>
  <c r="A61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Q60"/>
  <c r="CP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BX60"/>
  <c r="BW60"/>
  <c r="BV60"/>
  <c r="BU60"/>
  <c r="BT60"/>
  <c r="BS60"/>
  <c r="BR60"/>
  <c r="BQ60"/>
  <c r="BP60"/>
  <c r="BO60"/>
  <c r="BN60"/>
  <c r="A60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BW59"/>
  <c r="BV59"/>
  <c r="BU59"/>
  <c r="BT59"/>
  <c r="BS59"/>
  <c r="BR59"/>
  <c r="BQ59"/>
  <c r="BP59"/>
  <c r="BO59"/>
  <c r="BN59"/>
  <c r="A59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BW58"/>
  <c r="BV58"/>
  <c r="BU58"/>
  <c r="BT58"/>
  <c r="BS58"/>
  <c r="BR58"/>
  <c r="BQ58"/>
  <c r="BP58"/>
  <c r="BO58"/>
  <c r="BN58"/>
  <c r="A58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BV57"/>
  <c r="BU57"/>
  <c r="BT57"/>
  <c r="BS57"/>
  <c r="BR57"/>
  <c r="BQ57"/>
  <c r="BP57"/>
  <c r="BO57"/>
  <c r="BN57"/>
  <c r="A57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Q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BW56"/>
  <c r="BV56"/>
  <c r="BU56"/>
  <c r="BT56"/>
  <c r="BS56"/>
  <c r="BR56"/>
  <c r="BQ56"/>
  <c r="BP56"/>
  <c r="BO56"/>
  <c r="BN56"/>
  <c r="A56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P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BW55"/>
  <c r="BV55"/>
  <c r="BU55"/>
  <c r="BT55"/>
  <c r="BS55"/>
  <c r="BR55"/>
  <c r="BQ55"/>
  <c r="BP55"/>
  <c r="BO55"/>
  <c r="BN55"/>
  <c r="A55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Q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BW54"/>
  <c r="BV54"/>
  <c r="BU54"/>
  <c r="BT54"/>
  <c r="BS54"/>
  <c r="BR54"/>
  <c r="BQ54"/>
  <c r="BP54"/>
  <c r="BO54"/>
  <c r="BN54"/>
  <c r="A54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BX53"/>
  <c r="BW53"/>
  <c r="BV53"/>
  <c r="BU53"/>
  <c r="BT53"/>
  <c r="BS53"/>
  <c r="BR53"/>
  <c r="BQ53"/>
  <c r="BP53"/>
  <c r="BO53"/>
  <c r="BN53"/>
  <c r="A53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Q52"/>
  <c r="CP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BW52"/>
  <c r="BV52"/>
  <c r="BU52"/>
  <c r="BT52"/>
  <c r="BS52"/>
  <c r="BR52"/>
  <c r="BQ52"/>
  <c r="BP52"/>
  <c r="BO52"/>
  <c r="BN52"/>
  <c r="A52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BW51"/>
  <c r="BV51"/>
  <c r="BU51"/>
  <c r="BT51"/>
  <c r="BS51"/>
  <c r="BR51"/>
  <c r="BQ51"/>
  <c r="BP51"/>
  <c r="BO51"/>
  <c r="BN51"/>
  <c r="A51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BW50"/>
  <c r="BV50"/>
  <c r="BU50"/>
  <c r="BT50"/>
  <c r="BS50"/>
  <c r="BR50"/>
  <c r="BQ50"/>
  <c r="BP50"/>
  <c r="BO50"/>
  <c r="BN50"/>
  <c r="BJ50"/>
  <c r="BI50"/>
  <c r="BH50"/>
  <c r="BG50"/>
  <c r="BF50"/>
  <c r="BE50"/>
  <c r="BD50"/>
  <c r="BC50"/>
  <c r="BB50"/>
  <c r="BA50"/>
  <c r="AZ50"/>
  <c r="AY50"/>
  <c r="AX50"/>
  <c r="AW50"/>
  <c r="AV50"/>
  <c r="AU50"/>
  <c r="AT50"/>
  <c r="AS50"/>
  <c r="AR50"/>
  <c r="AQ50"/>
  <c r="AP50"/>
  <c r="AO50"/>
  <c r="AN50"/>
  <c r="AM50"/>
  <c r="AL50"/>
  <c r="AK50"/>
  <c r="AJ50"/>
  <c r="AI50"/>
  <c r="AH50"/>
  <c r="AG50"/>
  <c r="AF50"/>
  <c r="AE50"/>
  <c r="AD50"/>
  <c r="AC50"/>
  <c r="AB50"/>
  <c r="AA50"/>
  <c r="Z50"/>
  <c r="Y50"/>
  <c r="X50"/>
  <c r="W50"/>
  <c r="V50"/>
  <c r="U50"/>
  <c r="T50"/>
  <c r="S50"/>
  <c r="R50"/>
  <c r="Q50"/>
  <c r="P50"/>
  <c r="O50"/>
  <c r="N50"/>
  <c r="M50"/>
  <c r="L50"/>
  <c r="K50"/>
  <c r="J50"/>
  <c r="I50"/>
  <c r="H50"/>
  <c r="G50"/>
  <c r="F50"/>
  <c r="E50"/>
  <c r="D50"/>
  <c r="C50"/>
  <c r="B50"/>
  <c r="A50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BW49"/>
  <c r="BV49"/>
  <c r="BU49"/>
  <c r="BT49"/>
  <c r="BS49"/>
  <c r="BR49"/>
  <c r="BQ49"/>
  <c r="BP49"/>
  <c r="BO49"/>
  <c r="BN49"/>
  <c r="E49"/>
  <c r="D49"/>
  <c r="C49"/>
  <c r="B49"/>
  <c r="A49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BW48"/>
  <c r="BV48"/>
  <c r="BU48"/>
  <c r="BT48"/>
  <c r="BS48"/>
  <c r="BR48"/>
  <c r="BQ48"/>
  <c r="BP48"/>
  <c r="BO48"/>
  <c r="BN48"/>
  <c r="E48"/>
  <c r="D48"/>
  <c r="C48"/>
  <c r="B48"/>
  <c r="A48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BW47"/>
  <c r="BV47"/>
  <c r="BU47"/>
  <c r="BT47"/>
  <c r="BS47"/>
  <c r="BR47"/>
  <c r="BQ47"/>
  <c r="BP47"/>
  <c r="BO47"/>
  <c r="BN47"/>
  <c r="E47"/>
  <c r="D47"/>
  <c r="C47"/>
  <c r="A47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/>
  <c r="BV46"/>
  <c r="BU46"/>
  <c r="BT46"/>
  <c r="BS46"/>
  <c r="BR46"/>
  <c r="BQ46"/>
  <c r="BP46"/>
  <c r="BO46"/>
  <c r="BN46"/>
  <c r="E46"/>
  <c r="D46"/>
  <c r="C46"/>
  <c r="B46"/>
  <c r="A46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BW45"/>
  <c r="BV45"/>
  <c r="BU45"/>
  <c r="BT45"/>
  <c r="BS45"/>
  <c r="BR45"/>
  <c r="BQ45"/>
  <c r="BP45"/>
  <c r="BO45"/>
  <c r="BN45"/>
  <c r="A45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BW44"/>
  <c r="BV44"/>
  <c r="BU44"/>
  <c r="BT44"/>
  <c r="BS44"/>
  <c r="BR44"/>
  <c r="BQ44"/>
  <c r="BP44"/>
  <c r="BO44"/>
  <c r="BN44"/>
  <c r="E44"/>
  <c r="D44"/>
  <c r="C44"/>
  <c r="B44"/>
  <c r="A44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BW43"/>
  <c r="BV43"/>
  <c r="BU43"/>
  <c r="BT43"/>
  <c r="BS43"/>
  <c r="BR43"/>
  <c r="BQ43"/>
  <c r="BP43"/>
  <c r="BO43"/>
  <c r="BN43"/>
  <c r="E43"/>
  <c r="D43"/>
  <c r="C43"/>
  <c r="B43"/>
  <c r="A43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BW42"/>
  <c r="BV42"/>
  <c r="BU42"/>
  <c r="BT42"/>
  <c r="BS42"/>
  <c r="BR42"/>
  <c r="BQ42"/>
  <c r="BP42"/>
  <c r="BO42"/>
  <c r="BN42"/>
  <c r="E42"/>
  <c r="D42"/>
  <c r="C42"/>
  <c r="B42"/>
  <c r="A42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/>
  <c r="BV41"/>
  <c r="BU41"/>
  <c r="BT41"/>
  <c r="BS41"/>
  <c r="BR41"/>
  <c r="BQ41"/>
  <c r="BP41"/>
  <c r="BO41"/>
  <c r="BN41"/>
  <c r="E41"/>
  <c r="D41"/>
  <c r="C41"/>
  <c r="B41"/>
  <c r="A41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BW40"/>
  <c r="BV40"/>
  <c r="BU40"/>
  <c r="BT40"/>
  <c r="BS40"/>
  <c r="BR40"/>
  <c r="BQ40"/>
  <c r="BP40"/>
  <c r="BO40"/>
  <c r="BN40"/>
  <c r="E40"/>
  <c r="D40"/>
  <c r="C40"/>
  <c r="B40"/>
  <c r="A40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/>
  <c r="BV39"/>
  <c r="BU39"/>
  <c r="BT39"/>
  <c r="BS39"/>
  <c r="BR39"/>
  <c r="BQ39"/>
  <c r="BP39"/>
  <c r="BO39"/>
  <c r="BN39"/>
  <c r="E39"/>
  <c r="D39"/>
  <c r="C39"/>
  <c r="B39"/>
  <c r="A39"/>
  <c r="DU38"/>
  <c r="DT38"/>
  <c r="DS38"/>
  <c r="DR38"/>
  <c r="DQ38"/>
  <c r="DP38"/>
  <c r="DO38"/>
  <c r="DN38"/>
  <c r="DM38"/>
  <c r="DL38"/>
  <c r="DK38"/>
  <c r="DJ38"/>
  <c r="DI38"/>
  <c r="DH38"/>
  <c r="DG38"/>
  <c r="DF38"/>
  <c r="DE38"/>
  <c r="DD38"/>
  <c r="DC38"/>
  <c r="DB38"/>
  <c r="DA38"/>
  <c r="CZ38"/>
  <c r="CY38"/>
  <c r="CX38"/>
  <c r="CW38"/>
  <c r="CV38"/>
  <c r="CU38"/>
  <c r="CT38"/>
  <c r="CS38"/>
  <c r="CR38"/>
  <c r="CQ38"/>
  <c r="CP38"/>
  <c r="CO38"/>
  <c r="CN38"/>
  <c r="CM38"/>
  <c r="CL38"/>
  <c r="CK38"/>
  <c r="CJ38"/>
  <c r="CI38"/>
  <c r="CH38"/>
  <c r="CG38"/>
  <c r="CF38"/>
  <c r="CE38"/>
  <c r="CD38"/>
  <c r="CC38"/>
  <c r="CB38"/>
  <c r="CA38"/>
  <c r="BZ38"/>
  <c r="BY38"/>
  <c r="BX38"/>
  <c r="BW38"/>
  <c r="BV38"/>
  <c r="BU38"/>
  <c r="BT38"/>
  <c r="BS38"/>
  <c r="BR38"/>
  <c r="BQ38"/>
  <c r="BP38"/>
  <c r="BO38"/>
  <c r="BN38"/>
  <c r="DU37"/>
  <c r="DT37"/>
  <c r="DS37"/>
  <c r="DR37"/>
  <c r="DQ37"/>
  <c r="DP37"/>
  <c r="DO37"/>
  <c r="DN37"/>
  <c r="DM37"/>
  <c r="DL37"/>
  <c r="DK37"/>
  <c r="DJ37"/>
  <c r="DI37"/>
  <c r="DH37"/>
  <c r="DG37"/>
  <c r="DF37"/>
  <c r="DE37"/>
  <c r="DD37"/>
  <c r="DC37"/>
  <c r="DB37"/>
  <c r="DA37"/>
  <c r="CZ37"/>
  <c r="CY37"/>
  <c r="CX37"/>
  <c r="CW37"/>
  <c r="CV37"/>
  <c r="CU37"/>
  <c r="CT37"/>
  <c r="CS37"/>
  <c r="CR37"/>
  <c r="CQ37"/>
  <c r="CP37"/>
  <c r="CO37"/>
  <c r="CN37"/>
  <c r="CM37"/>
  <c r="CL37"/>
  <c r="CK37"/>
  <c r="CJ37"/>
  <c r="CI37"/>
  <c r="CH37"/>
  <c r="CG37"/>
  <c r="CF37"/>
  <c r="CE37"/>
  <c r="CD37"/>
  <c r="CC37"/>
  <c r="CB37"/>
  <c r="CA37"/>
  <c r="BZ37"/>
  <c r="BY37"/>
  <c r="BX37"/>
  <c r="BW37"/>
  <c r="BV37"/>
  <c r="BU37"/>
  <c r="BT37"/>
  <c r="BS37"/>
  <c r="BR37"/>
  <c r="BQ37"/>
  <c r="BP37"/>
  <c r="BO37"/>
  <c r="BN37"/>
  <c r="D37"/>
  <c r="DU36"/>
  <c r="DT36"/>
  <c r="DS36"/>
  <c r="DR36"/>
  <c r="DQ36"/>
  <c r="DP36"/>
  <c r="DO36"/>
  <c r="DN36"/>
  <c r="DM36"/>
  <c r="DL36"/>
  <c r="DK36"/>
  <c r="DJ36"/>
  <c r="DI36"/>
  <c r="DH36"/>
  <c r="DG36"/>
  <c r="DF36"/>
  <c r="DE36"/>
  <c r="DD36"/>
  <c r="DC36"/>
  <c r="DB36"/>
  <c r="DA36"/>
  <c r="CZ36"/>
  <c r="CY36"/>
  <c r="CX36"/>
  <c r="CW36"/>
  <c r="CV36"/>
  <c r="CU36"/>
  <c r="CT36"/>
  <c r="CS36"/>
  <c r="CR36"/>
  <c r="CQ36"/>
  <c r="CP36"/>
  <c r="CO36"/>
  <c r="CN36"/>
  <c r="CM36"/>
  <c r="CL36"/>
  <c r="CK36"/>
  <c r="CJ36"/>
  <c r="CI36"/>
  <c r="CH36"/>
  <c r="CG36"/>
  <c r="CF36"/>
  <c r="CE36"/>
  <c r="CD36"/>
  <c r="CC36"/>
  <c r="CB36"/>
  <c r="CA36"/>
  <c r="BZ36"/>
  <c r="BY36"/>
  <c r="BX36"/>
  <c r="BW36"/>
  <c r="BV36"/>
  <c r="BU36"/>
  <c r="BT36"/>
  <c r="BS36"/>
  <c r="BR36"/>
  <c r="BQ36"/>
  <c r="BP36"/>
  <c r="BO36"/>
  <c r="BN36"/>
  <c r="DU35"/>
  <c r="DT35"/>
  <c r="DS35"/>
  <c r="DR35"/>
  <c r="DQ35"/>
  <c r="DP35"/>
  <c r="DO35"/>
  <c r="DN35"/>
  <c r="DM35"/>
  <c r="DL35"/>
  <c r="DK35"/>
  <c r="DJ35"/>
  <c r="DI35"/>
  <c r="DH35"/>
  <c r="DG35"/>
  <c r="DF35"/>
  <c r="DE35"/>
  <c r="DD35"/>
  <c r="DC35"/>
  <c r="DB35"/>
  <c r="DA35"/>
  <c r="CZ35"/>
  <c r="CY35"/>
  <c r="CX35"/>
  <c r="CW35"/>
  <c r="CV35"/>
  <c r="CU35"/>
  <c r="CT35"/>
  <c r="CS35"/>
  <c r="CR35"/>
  <c r="CQ35"/>
  <c r="CP35"/>
  <c r="CO35"/>
  <c r="CN35"/>
  <c r="CM35"/>
  <c r="CL35"/>
  <c r="CK35"/>
  <c r="CJ35"/>
  <c r="CI35"/>
  <c r="CH35"/>
  <c r="CG35"/>
  <c r="CF35"/>
  <c r="CE35"/>
  <c r="CD35"/>
  <c r="CC35"/>
  <c r="CB35"/>
  <c r="CA35"/>
  <c r="BZ35"/>
  <c r="BY35"/>
  <c r="BX35"/>
  <c r="BW35"/>
  <c r="BV35"/>
  <c r="BU35"/>
  <c r="BT35"/>
  <c r="BS35"/>
  <c r="BR35"/>
  <c r="BQ35"/>
  <c r="BP35"/>
  <c r="BO35"/>
  <c r="BN35"/>
  <c r="DU34"/>
  <c r="DT34"/>
  <c r="DS34"/>
  <c r="DR34"/>
  <c r="DQ34"/>
  <c r="DP34"/>
  <c r="DO34"/>
  <c r="DN34"/>
  <c r="DM34"/>
  <c r="DL34"/>
  <c r="DK34"/>
  <c r="DJ34"/>
  <c r="DI34"/>
  <c r="DH34"/>
  <c r="DG34"/>
  <c r="DF34"/>
  <c r="DE34"/>
  <c r="DD34"/>
  <c r="DC34"/>
  <c r="DB34"/>
  <c r="DA34"/>
  <c r="CZ34"/>
  <c r="CY34"/>
  <c r="CX34"/>
  <c r="CW34"/>
  <c r="CV34"/>
  <c r="CU34"/>
  <c r="CT34"/>
  <c r="CS34"/>
  <c r="CR34"/>
  <c r="CQ34"/>
  <c r="CP34"/>
  <c r="CO34"/>
  <c r="CN34"/>
  <c r="CM34"/>
  <c r="CL34"/>
  <c r="CK34"/>
  <c r="CJ34"/>
  <c r="CI34"/>
  <c r="CH34"/>
  <c r="CG34"/>
  <c r="CF34"/>
  <c r="CE34"/>
  <c r="CD34"/>
  <c r="CC34"/>
  <c r="CB34"/>
  <c r="CA34"/>
  <c r="BZ34"/>
  <c r="BY34"/>
  <c r="BX34"/>
  <c r="BW34"/>
  <c r="BV34"/>
  <c r="BU34"/>
  <c r="BT34"/>
  <c r="BS34"/>
  <c r="BR34"/>
  <c r="BQ34"/>
  <c r="BP34"/>
  <c r="BO34"/>
  <c r="BN34"/>
  <c r="C34"/>
  <c r="DU33"/>
  <c r="DT33"/>
  <c r="DS33"/>
  <c r="DR33"/>
  <c r="DQ33"/>
  <c r="DP33"/>
  <c r="DO33"/>
  <c r="DN33"/>
  <c r="DM33"/>
  <c r="DL33"/>
  <c r="DK33"/>
  <c r="DJ33"/>
  <c r="DI33"/>
  <c r="DH33"/>
  <c r="DG33"/>
  <c r="DF33"/>
  <c r="DE33"/>
  <c r="DD33"/>
  <c r="DC33"/>
  <c r="DB33"/>
  <c r="DA33"/>
  <c r="CZ33"/>
  <c r="CY33"/>
  <c r="CX33"/>
  <c r="CW33"/>
  <c r="CV33"/>
  <c r="CU33"/>
  <c r="CT33"/>
  <c r="CS33"/>
  <c r="CR33"/>
  <c r="CQ33"/>
  <c r="CP33"/>
  <c r="CO33"/>
  <c r="CN33"/>
  <c r="CM33"/>
  <c r="CL33"/>
  <c r="CK33"/>
  <c r="CJ33"/>
  <c r="CI33"/>
  <c r="CH33"/>
  <c r="CG33"/>
  <c r="CF33"/>
  <c r="CE33"/>
  <c r="CD33"/>
  <c r="CC33"/>
  <c r="CB33"/>
  <c r="CA33"/>
  <c r="BZ33"/>
  <c r="BY33"/>
  <c r="BX33"/>
  <c r="BW33"/>
  <c r="BV33"/>
  <c r="BU33"/>
  <c r="BT33"/>
  <c r="BS33"/>
  <c r="BR33"/>
  <c r="BQ33"/>
  <c r="BP33"/>
  <c r="BO33"/>
  <c r="BN33"/>
  <c r="A33"/>
  <c r="DU32"/>
  <c r="DT32"/>
  <c r="DS32"/>
  <c r="DR32"/>
  <c r="DQ32"/>
  <c r="DP32"/>
  <c r="DO32"/>
  <c r="DN32"/>
  <c r="DM32"/>
  <c r="DL32"/>
  <c r="DK32"/>
  <c r="DJ32"/>
  <c r="DI32"/>
  <c r="DH32"/>
  <c r="DG32"/>
  <c r="DF32"/>
  <c r="DE32"/>
  <c r="DD32"/>
  <c r="DC32"/>
  <c r="DB32"/>
  <c r="DA32"/>
  <c r="CZ32"/>
  <c r="CY32"/>
  <c r="CX32"/>
  <c r="CW32"/>
  <c r="CV32"/>
  <c r="CU32"/>
  <c r="CT32"/>
  <c r="CS32"/>
  <c r="CR32"/>
  <c r="CQ32"/>
  <c r="CP32"/>
  <c r="CO32"/>
  <c r="CN32"/>
  <c r="CM32"/>
  <c r="CL32"/>
  <c r="CK32"/>
  <c r="CJ32"/>
  <c r="CI32"/>
  <c r="CH32"/>
  <c r="CG32"/>
  <c r="CF32"/>
  <c r="CE32"/>
  <c r="CD32"/>
  <c r="CC32"/>
  <c r="CB32"/>
  <c r="CA32"/>
  <c r="BZ32"/>
  <c r="BY32"/>
  <c r="BX32"/>
  <c r="BW32"/>
  <c r="BV32"/>
  <c r="BU32"/>
  <c r="BT32"/>
  <c r="BS32"/>
  <c r="BR32"/>
  <c r="BQ32"/>
  <c r="BP32"/>
  <c r="BO32"/>
  <c r="BN32"/>
  <c r="E32"/>
  <c r="D32"/>
  <c r="C32"/>
  <c r="B32"/>
  <c r="DU31"/>
  <c r="DT31"/>
  <c r="DS31"/>
  <c r="DR31"/>
  <c r="DQ31"/>
  <c r="DP31"/>
  <c r="DO31"/>
  <c r="DN31"/>
  <c r="DM31"/>
  <c r="DL31"/>
  <c r="DK31"/>
  <c r="DJ31"/>
  <c r="DI31"/>
  <c r="DH31"/>
  <c r="DG31"/>
  <c r="DF31"/>
  <c r="DE31"/>
  <c r="DD31"/>
  <c r="DC31"/>
  <c r="DB31"/>
  <c r="DA31"/>
  <c r="CZ31"/>
  <c r="CY31"/>
  <c r="CX31"/>
  <c r="CW31"/>
  <c r="CV31"/>
  <c r="CU31"/>
  <c r="CT31"/>
  <c r="CS31"/>
  <c r="CR31"/>
  <c r="CQ31"/>
  <c r="CP31"/>
  <c r="CO31"/>
  <c r="CN31"/>
  <c r="CM31"/>
  <c r="CL31"/>
  <c r="CK31"/>
  <c r="CJ31"/>
  <c r="CI31"/>
  <c r="CH31"/>
  <c r="CG31"/>
  <c r="CF31"/>
  <c r="CE31"/>
  <c r="CD31"/>
  <c r="CC31"/>
  <c r="CB31"/>
  <c r="CA31"/>
  <c r="BZ31"/>
  <c r="BY31"/>
  <c r="BX31"/>
  <c r="BW31"/>
  <c r="BV31"/>
  <c r="BU31"/>
  <c r="BT31"/>
  <c r="BS31"/>
  <c r="BR31"/>
  <c r="BQ31"/>
  <c r="BP31"/>
  <c r="BO31"/>
  <c r="BN31"/>
  <c r="E31"/>
  <c r="D31"/>
  <c r="C31"/>
  <c r="B31"/>
  <c r="DU30"/>
  <c r="DT30"/>
  <c r="DS30"/>
  <c r="DR30"/>
  <c r="DQ30"/>
  <c r="DP30"/>
  <c r="DO30"/>
  <c r="DN30"/>
  <c r="DM30"/>
  <c r="DL30"/>
  <c r="DK30"/>
  <c r="DJ30"/>
  <c r="DI30"/>
  <c r="DH30"/>
  <c r="DG30"/>
  <c r="DF30"/>
  <c r="DE30"/>
  <c r="DD30"/>
  <c r="DC30"/>
  <c r="DB30"/>
  <c r="DA30"/>
  <c r="CZ30"/>
  <c r="CY30"/>
  <c r="CX30"/>
  <c r="CW30"/>
  <c r="CV30"/>
  <c r="CU30"/>
  <c r="CT30"/>
  <c r="CS30"/>
  <c r="CR30"/>
  <c r="CQ30"/>
  <c r="CP30"/>
  <c r="CO30"/>
  <c r="CN30"/>
  <c r="CM30"/>
  <c r="CL30"/>
  <c r="CK30"/>
  <c r="CJ30"/>
  <c r="CI30"/>
  <c r="CH30"/>
  <c r="CG30"/>
  <c r="CF30"/>
  <c r="CE30"/>
  <c r="CD30"/>
  <c r="CC30"/>
  <c r="CB30"/>
  <c r="CA30"/>
  <c r="BZ30"/>
  <c r="BY30"/>
  <c r="BX30"/>
  <c r="BW30"/>
  <c r="BV30"/>
  <c r="BU30"/>
  <c r="BT30"/>
  <c r="BS30"/>
  <c r="BR30"/>
  <c r="BQ30"/>
  <c r="BP30"/>
  <c r="BO30"/>
  <c r="BN30"/>
  <c r="E30"/>
  <c r="D30"/>
  <c r="C30"/>
  <c r="B30"/>
  <c r="DU29"/>
  <c r="DT29"/>
  <c r="DS29"/>
  <c r="DR29"/>
  <c r="DQ29"/>
  <c r="DP29"/>
  <c r="DO29"/>
  <c r="DN29"/>
  <c r="DM29"/>
  <c r="DL29"/>
  <c r="DK29"/>
  <c r="DJ29"/>
  <c r="DI29"/>
  <c r="DH29"/>
  <c r="DG29"/>
  <c r="DF29"/>
  <c r="DE29"/>
  <c r="DD29"/>
  <c r="DC29"/>
  <c r="DB29"/>
  <c r="DA29"/>
  <c r="CZ29"/>
  <c r="CY29"/>
  <c r="CX29"/>
  <c r="CW29"/>
  <c r="CV29"/>
  <c r="CU29"/>
  <c r="CT29"/>
  <c r="CS29"/>
  <c r="CR29"/>
  <c r="CQ29"/>
  <c r="CP29"/>
  <c r="CO29"/>
  <c r="CN29"/>
  <c r="CM29"/>
  <c r="CL29"/>
  <c r="CK29"/>
  <c r="CJ29"/>
  <c r="CI29"/>
  <c r="CH29"/>
  <c r="CG29"/>
  <c r="CF29"/>
  <c r="CE29"/>
  <c r="CD29"/>
  <c r="CC29"/>
  <c r="CB29"/>
  <c r="CA29"/>
  <c r="BZ29"/>
  <c r="BY29"/>
  <c r="BX29"/>
  <c r="BW29"/>
  <c r="BV29"/>
  <c r="BU29"/>
  <c r="BT29"/>
  <c r="BS29"/>
  <c r="BR29"/>
  <c r="BQ29"/>
  <c r="BP29"/>
  <c r="BO29"/>
  <c r="BN29"/>
  <c r="DU28"/>
  <c r="DT28"/>
  <c r="DS28"/>
  <c r="DR28"/>
  <c r="DQ28"/>
  <c r="DP28"/>
  <c r="DO28"/>
  <c r="DN28"/>
  <c r="DM28"/>
  <c r="DL28"/>
  <c r="DK28"/>
  <c r="DJ28"/>
  <c r="DI28"/>
  <c r="DH28"/>
  <c r="DG28"/>
  <c r="DF28"/>
  <c r="DE28"/>
  <c r="DD28"/>
  <c r="DC28"/>
  <c r="DB28"/>
  <c r="DA28"/>
  <c r="CZ28"/>
  <c r="CY28"/>
  <c r="CX28"/>
  <c r="CW28"/>
  <c r="CV28"/>
  <c r="CU28"/>
  <c r="CT28"/>
  <c r="CS28"/>
  <c r="CR28"/>
  <c r="CQ28"/>
  <c r="CP28"/>
  <c r="CO28"/>
  <c r="CN28"/>
  <c r="CM28"/>
  <c r="CL28"/>
  <c r="CK28"/>
  <c r="CJ28"/>
  <c r="CI28"/>
  <c r="CH28"/>
  <c r="CG28"/>
  <c r="CF28"/>
  <c r="CE28"/>
  <c r="CD28"/>
  <c r="CC28"/>
  <c r="CB28"/>
  <c r="CA28"/>
  <c r="BZ28"/>
  <c r="BY28"/>
  <c r="BX28"/>
  <c r="BW28"/>
  <c r="BV28"/>
  <c r="BU28"/>
  <c r="BT28"/>
  <c r="BS28"/>
  <c r="BR28"/>
  <c r="BQ28"/>
  <c r="BP28"/>
  <c r="BO28"/>
  <c r="BN28"/>
  <c r="A28"/>
  <c r="DU27"/>
  <c r="DT27"/>
  <c r="DS27"/>
  <c r="DR27"/>
  <c r="DQ27"/>
  <c r="DP27"/>
  <c r="DO27"/>
  <c r="DN27"/>
  <c r="DM27"/>
  <c r="DL27"/>
  <c r="DK27"/>
  <c r="DJ27"/>
  <c r="DI27"/>
  <c r="DH27"/>
  <c r="DG27"/>
  <c r="DF27"/>
  <c r="DE27"/>
  <c r="DD27"/>
  <c r="DC27"/>
  <c r="DB27"/>
  <c r="DA27"/>
  <c r="CZ27"/>
  <c r="CY27"/>
  <c r="CX27"/>
  <c r="CW27"/>
  <c r="CV27"/>
  <c r="CU27"/>
  <c r="CT27"/>
  <c r="CS27"/>
  <c r="CR27"/>
  <c r="CQ27"/>
  <c r="CP27"/>
  <c r="CO27"/>
  <c r="CN27"/>
  <c r="CM27"/>
  <c r="CL27"/>
  <c r="CK27"/>
  <c r="CJ27"/>
  <c r="CI27"/>
  <c r="CH27"/>
  <c r="CG27"/>
  <c r="CF27"/>
  <c r="CE27"/>
  <c r="CD27"/>
  <c r="CC27"/>
  <c r="CB27"/>
  <c r="CA27"/>
  <c r="BZ27"/>
  <c r="BY27"/>
  <c r="BX27"/>
  <c r="BW27"/>
  <c r="BV27"/>
  <c r="BU27"/>
  <c r="BT27"/>
  <c r="BS27"/>
  <c r="BR27"/>
  <c r="BQ27"/>
  <c r="BP27"/>
  <c r="BO27"/>
  <c r="BN27"/>
  <c r="B27"/>
  <c r="B47" s="1"/>
  <c r="A27"/>
  <c r="DU26"/>
  <c r="DT26"/>
  <c r="DS26"/>
  <c r="DR26"/>
  <c r="DQ26"/>
  <c r="DP26"/>
  <c r="DO26"/>
  <c r="DN26"/>
  <c r="DM26"/>
  <c r="DL26"/>
  <c r="DK26"/>
  <c r="DJ26"/>
  <c r="DI26"/>
  <c r="DH26"/>
  <c r="DG26"/>
  <c r="DF26"/>
  <c r="DE26"/>
  <c r="DD26"/>
  <c r="DC26"/>
  <c r="DB26"/>
  <c r="DA26"/>
  <c r="CZ26"/>
  <c r="CY26"/>
  <c r="CX26"/>
  <c r="CW26"/>
  <c r="CV26"/>
  <c r="CU26"/>
  <c r="CT26"/>
  <c r="CS26"/>
  <c r="CR26"/>
  <c r="CQ26"/>
  <c r="CP26"/>
  <c r="CO26"/>
  <c r="CN26"/>
  <c r="CM26"/>
  <c r="CL26"/>
  <c r="CK26"/>
  <c r="CJ26"/>
  <c r="CI26"/>
  <c r="CH26"/>
  <c r="CG26"/>
  <c r="CF26"/>
  <c r="CE26"/>
  <c r="CD26"/>
  <c r="CC26"/>
  <c r="CB26"/>
  <c r="CA26"/>
  <c r="BZ26"/>
  <c r="BY26"/>
  <c r="BX26"/>
  <c r="BW26"/>
  <c r="BV26"/>
  <c r="BU26"/>
  <c r="BT26"/>
  <c r="BS26"/>
  <c r="BR26"/>
  <c r="BQ26"/>
  <c r="BP26"/>
  <c r="BO26"/>
  <c r="BN26"/>
  <c r="A26"/>
  <c r="DU25"/>
  <c r="DT25"/>
  <c r="DS25"/>
  <c r="DR25"/>
  <c r="DQ25"/>
  <c r="DP25"/>
  <c r="DO25"/>
  <c r="DN25"/>
  <c r="DM25"/>
  <c r="DL25"/>
  <c r="DK25"/>
  <c r="DJ25"/>
  <c r="DI25"/>
  <c r="DH25"/>
  <c r="DG25"/>
  <c r="DF25"/>
  <c r="DE25"/>
  <c r="DD25"/>
  <c r="DC25"/>
  <c r="DB25"/>
  <c r="DA25"/>
  <c r="CZ25"/>
  <c r="CY25"/>
  <c r="CX25"/>
  <c r="CW25"/>
  <c r="CV25"/>
  <c r="CU25"/>
  <c r="CT25"/>
  <c r="CS25"/>
  <c r="CR25"/>
  <c r="CQ25"/>
  <c r="CP25"/>
  <c r="CO25"/>
  <c r="CN25"/>
  <c r="CM25"/>
  <c r="CL25"/>
  <c r="CK25"/>
  <c r="CJ25"/>
  <c r="CI25"/>
  <c r="CH25"/>
  <c r="CG25"/>
  <c r="CF25"/>
  <c r="CE25"/>
  <c r="CD25"/>
  <c r="CC25"/>
  <c r="CB25"/>
  <c r="CA25"/>
  <c r="BZ25"/>
  <c r="BY25"/>
  <c r="BX25"/>
  <c r="BW25"/>
  <c r="BV25"/>
  <c r="BU25"/>
  <c r="BT25"/>
  <c r="BS25"/>
  <c r="BR25"/>
  <c r="BQ25"/>
  <c r="BP25"/>
  <c r="BO25"/>
  <c r="BN25"/>
  <c r="B25"/>
  <c r="A25"/>
  <c r="DU24"/>
  <c r="DT24"/>
  <c r="DS24"/>
  <c r="DR24"/>
  <c r="DQ24"/>
  <c r="DP24"/>
  <c r="DO24"/>
  <c r="DN24"/>
  <c r="DM24"/>
  <c r="DL24"/>
  <c r="DK24"/>
  <c r="DJ24"/>
  <c r="DI24"/>
  <c r="DH24"/>
  <c r="DG24"/>
  <c r="DF24"/>
  <c r="DE24"/>
  <c r="DD24"/>
  <c r="DC24"/>
  <c r="DB24"/>
  <c r="DA24"/>
  <c r="CZ24"/>
  <c r="CY24"/>
  <c r="CX24"/>
  <c r="CW24"/>
  <c r="CV24"/>
  <c r="CU24"/>
  <c r="CT24"/>
  <c r="CS24"/>
  <c r="CR24"/>
  <c r="CQ24"/>
  <c r="CP24"/>
  <c r="CO24"/>
  <c r="CN24"/>
  <c r="CM24"/>
  <c r="CL24"/>
  <c r="CK24"/>
  <c r="CJ24"/>
  <c r="CI24"/>
  <c r="CH24"/>
  <c r="CG24"/>
  <c r="CF24"/>
  <c r="CE24"/>
  <c r="CD24"/>
  <c r="CC24"/>
  <c r="CB24"/>
  <c r="CA24"/>
  <c r="BZ24"/>
  <c r="BY24"/>
  <c r="BX24"/>
  <c r="BW24"/>
  <c r="BV24"/>
  <c r="BU24"/>
  <c r="BT24"/>
  <c r="BS24"/>
  <c r="BR24"/>
  <c r="BQ24"/>
  <c r="BP24"/>
  <c r="BO24"/>
  <c r="BN24"/>
  <c r="C24"/>
  <c r="B24"/>
  <c r="A24"/>
  <c r="DU23"/>
  <c r="DT23"/>
  <c r="DS23"/>
  <c r="DR23"/>
  <c r="DQ23"/>
  <c r="DP23"/>
  <c r="DO23"/>
  <c r="DN23"/>
  <c r="DM23"/>
  <c r="DL23"/>
  <c r="DK23"/>
  <c r="DJ23"/>
  <c r="DI23"/>
  <c r="DH23"/>
  <c r="DG23"/>
  <c r="DF23"/>
  <c r="DE23"/>
  <c r="DD23"/>
  <c r="DC23"/>
  <c r="DB23"/>
  <c r="DA23"/>
  <c r="CZ23"/>
  <c r="CY23"/>
  <c r="CX23"/>
  <c r="CW23"/>
  <c r="CV23"/>
  <c r="CU23"/>
  <c r="CT23"/>
  <c r="CS23"/>
  <c r="CR23"/>
  <c r="CQ23"/>
  <c r="CP23"/>
  <c r="CO23"/>
  <c r="CN23"/>
  <c r="CM23"/>
  <c r="CL23"/>
  <c r="CK23"/>
  <c r="CJ23"/>
  <c r="CI23"/>
  <c r="CH23"/>
  <c r="CG23"/>
  <c r="CF23"/>
  <c r="CE23"/>
  <c r="CD23"/>
  <c r="CC23"/>
  <c r="CB23"/>
  <c r="CA23"/>
  <c r="BZ23"/>
  <c r="BY23"/>
  <c r="BX23"/>
  <c r="BW23"/>
  <c r="BV23"/>
  <c r="BU23"/>
  <c r="BT23"/>
  <c r="BS23"/>
  <c r="BR23"/>
  <c r="BQ23"/>
  <c r="BP23"/>
  <c r="BO23"/>
  <c r="BN23"/>
  <c r="B23"/>
  <c r="A23"/>
  <c r="DU22"/>
  <c r="DT22"/>
  <c r="DS22"/>
  <c r="DR22"/>
  <c r="DQ22"/>
  <c r="DP22"/>
  <c r="DO22"/>
  <c r="DN22"/>
  <c r="DM22"/>
  <c r="DL22"/>
  <c r="DK22"/>
  <c r="DJ22"/>
  <c r="DI22"/>
  <c r="DH22"/>
  <c r="DG22"/>
  <c r="DF22"/>
  <c r="DE22"/>
  <c r="DD22"/>
  <c r="DC22"/>
  <c r="DB22"/>
  <c r="DA22"/>
  <c r="CZ22"/>
  <c r="CY22"/>
  <c r="CX22"/>
  <c r="CW22"/>
  <c r="CV22"/>
  <c r="CU22"/>
  <c r="CT22"/>
  <c r="CS22"/>
  <c r="CR22"/>
  <c r="CQ22"/>
  <c r="CP22"/>
  <c r="CO22"/>
  <c r="CN22"/>
  <c r="CM22"/>
  <c r="CL22"/>
  <c r="CK22"/>
  <c r="CJ22"/>
  <c r="CI22"/>
  <c r="CH22"/>
  <c r="CG22"/>
  <c r="CF22"/>
  <c r="CE22"/>
  <c r="CD22"/>
  <c r="CC22"/>
  <c r="CB22"/>
  <c r="CA22"/>
  <c r="BZ22"/>
  <c r="BY22"/>
  <c r="BX22"/>
  <c r="BW22"/>
  <c r="BV22"/>
  <c r="BU22"/>
  <c r="BT22"/>
  <c r="BS22"/>
  <c r="BR22"/>
  <c r="BQ22"/>
  <c r="BP22"/>
  <c r="BO22"/>
  <c r="BN22"/>
  <c r="DU21"/>
  <c r="DT21"/>
  <c r="DS21"/>
  <c r="DR21"/>
  <c r="DQ21"/>
  <c r="DP21"/>
  <c r="DO21"/>
  <c r="DN21"/>
  <c r="DM21"/>
  <c r="DL21"/>
  <c r="DK21"/>
  <c r="DJ21"/>
  <c r="DI21"/>
  <c r="DH21"/>
  <c r="DG21"/>
  <c r="DF21"/>
  <c r="DE21"/>
  <c r="DD21"/>
  <c r="DC21"/>
  <c r="DB21"/>
  <c r="DA21"/>
  <c r="CZ21"/>
  <c r="CY21"/>
  <c r="CX21"/>
  <c r="CW21"/>
  <c r="CV21"/>
  <c r="CU21"/>
  <c r="CT21"/>
  <c r="CS21"/>
  <c r="CR21"/>
  <c r="CQ21"/>
  <c r="CP21"/>
  <c r="CO21"/>
  <c r="CN21"/>
  <c r="CM21"/>
  <c r="CL21"/>
  <c r="CK21"/>
  <c r="CJ21"/>
  <c r="CI21"/>
  <c r="CH21"/>
  <c r="CG21"/>
  <c r="CF21"/>
  <c r="CE21"/>
  <c r="CD21"/>
  <c r="CC21"/>
  <c r="CB21"/>
  <c r="CA21"/>
  <c r="BZ21"/>
  <c r="BY21"/>
  <c r="BX21"/>
  <c r="BW21"/>
  <c r="BV21"/>
  <c r="BU21"/>
  <c r="BT21"/>
  <c r="BS21"/>
  <c r="BR21"/>
  <c r="BQ21"/>
  <c r="BP21"/>
  <c r="BO21"/>
  <c r="BN21"/>
  <c r="A21"/>
  <c r="DU20"/>
  <c r="DT20"/>
  <c r="DS20"/>
  <c r="DR20"/>
  <c r="DQ20"/>
  <c r="DP20"/>
  <c r="DO20"/>
  <c r="DN20"/>
  <c r="DM20"/>
  <c r="DL20"/>
  <c r="DK20"/>
  <c r="DJ20"/>
  <c r="DI20"/>
  <c r="DH20"/>
  <c r="DG20"/>
  <c r="DF20"/>
  <c r="DE20"/>
  <c r="DD20"/>
  <c r="DC20"/>
  <c r="DB20"/>
  <c r="DA20"/>
  <c r="CZ20"/>
  <c r="CY20"/>
  <c r="CX20"/>
  <c r="CW20"/>
  <c r="CV20"/>
  <c r="CU20"/>
  <c r="CT20"/>
  <c r="CS20"/>
  <c r="CR20"/>
  <c r="CQ20"/>
  <c r="CP20"/>
  <c r="CO20"/>
  <c r="CN20"/>
  <c r="CM20"/>
  <c r="CL20"/>
  <c r="CK20"/>
  <c r="CJ20"/>
  <c r="CI20"/>
  <c r="CH20"/>
  <c r="CG20"/>
  <c r="CF20"/>
  <c r="CE20"/>
  <c r="CD20"/>
  <c r="CC20"/>
  <c r="CB20"/>
  <c r="CA20"/>
  <c r="BZ20"/>
  <c r="BY20"/>
  <c r="BX20"/>
  <c r="BW20"/>
  <c r="BV20"/>
  <c r="BU20"/>
  <c r="BT20"/>
  <c r="BS20"/>
  <c r="BR20"/>
  <c r="BQ20"/>
  <c r="BP20"/>
  <c r="BO20"/>
  <c r="BN20"/>
  <c r="BM20"/>
  <c r="BL20"/>
  <c r="BK20"/>
  <c r="BJ20"/>
  <c r="BI20"/>
  <c r="BH20"/>
  <c r="BG20"/>
  <c r="BF20"/>
  <c r="BE20"/>
  <c r="BD20"/>
  <c r="BC20"/>
  <c r="BB20"/>
  <c r="BA20"/>
  <c r="AZ20"/>
  <c r="AY20"/>
  <c r="AX20"/>
  <c r="AW20"/>
  <c r="AV20"/>
  <c r="AU20"/>
  <c r="AT20"/>
  <c r="AS20"/>
  <c r="AR20"/>
  <c r="AQ20"/>
  <c r="AP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E20"/>
  <c r="D20"/>
  <c r="C20"/>
  <c r="B20"/>
  <c r="A20"/>
  <c r="DU19"/>
  <c r="DT19"/>
  <c r="DS19"/>
  <c r="DR19"/>
  <c r="DQ19"/>
  <c r="DP19"/>
  <c r="DO19"/>
  <c r="DN19"/>
  <c r="DM19"/>
  <c r="DL19"/>
  <c r="DK19"/>
  <c r="DJ19"/>
  <c r="DI19"/>
  <c r="DH19"/>
  <c r="DG19"/>
  <c r="DF19"/>
  <c r="DE19"/>
  <c r="DD19"/>
  <c r="DC19"/>
  <c r="DB19"/>
  <c r="DA19"/>
  <c r="CZ19"/>
  <c r="CY19"/>
  <c r="CX19"/>
  <c r="CW19"/>
  <c r="CV19"/>
  <c r="CU19"/>
  <c r="CT19"/>
  <c r="CS19"/>
  <c r="CR19"/>
  <c r="CQ19"/>
  <c r="CP19"/>
  <c r="CO19"/>
  <c r="CN19"/>
  <c r="CM19"/>
  <c r="CL19"/>
  <c r="CK19"/>
  <c r="CJ19"/>
  <c r="CI19"/>
  <c r="CH19"/>
  <c r="CG19"/>
  <c r="CF19"/>
  <c r="CE19"/>
  <c r="CD19"/>
  <c r="CC19"/>
  <c r="CB19"/>
  <c r="CA19"/>
  <c r="BZ19"/>
  <c r="BY19"/>
  <c r="BX19"/>
  <c r="BW19"/>
  <c r="BV19"/>
  <c r="BU19"/>
  <c r="BT19"/>
  <c r="BS19"/>
  <c r="BR19"/>
  <c r="BQ19"/>
  <c r="BP19"/>
  <c r="BO19"/>
  <c r="BN19"/>
  <c r="DU18"/>
  <c r="DT18"/>
  <c r="DS18"/>
  <c r="DR18"/>
  <c r="DQ18"/>
  <c r="DP18"/>
  <c r="DO18"/>
  <c r="DN18"/>
  <c r="DM18"/>
  <c r="DL18"/>
  <c r="DK18"/>
  <c r="DJ18"/>
  <c r="DI18"/>
  <c r="DH18"/>
  <c r="DG18"/>
  <c r="DF18"/>
  <c r="DE18"/>
  <c r="DD18"/>
  <c r="DC18"/>
  <c r="DB18"/>
  <c r="DA18"/>
  <c r="CZ18"/>
  <c r="CY18"/>
  <c r="CX18"/>
  <c r="CW18"/>
  <c r="CV18"/>
  <c r="CU18"/>
  <c r="CT18"/>
  <c r="CS18"/>
  <c r="CR18"/>
  <c r="CQ18"/>
  <c r="CP18"/>
  <c r="CO18"/>
  <c r="CN18"/>
  <c r="CM18"/>
  <c r="CL18"/>
  <c r="CK18"/>
  <c r="CJ18"/>
  <c r="CI18"/>
  <c r="CH18"/>
  <c r="CG18"/>
  <c r="CF18"/>
  <c r="CE18"/>
  <c r="CD18"/>
  <c r="CC18"/>
  <c r="CB18"/>
  <c r="CA18"/>
  <c r="BZ18"/>
  <c r="BY18"/>
  <c r="BX18"/>
  <c r="BW18"/>
  <c r="BV18"/>
  <c r="BU18"/>
  <c r="BT18"/>
  <c r="BS18"/>
  <c r="BR18"/>
  <c r="BQ18"/>
  <c r="BP18"/>
  <c r="BO18"/>
  <c r="BN18"/>
  <c r="DU17"/>
  <c r="DT17"/>
  <c r="DS17"/>
  <c r="DR17"/>
  <c r="DQ17"/>
  <c r="DP17"/>
  <c r="DO17"/>
  <c r="DN17"/>
  <c r="DM17"/>
  <c r="DL17"/>
  <c r="DK17"/>
  <c r="DJ17"/>
  <c r="DI17"/>
  <c r="DH17"/>
  <c r="DG17"/>
  <c r="DF17"/>
  <c r="DE17"/>
  <c r="DD17"/>
  <c r="DC17"/>
  <c r="DB17"/>
  <c r="DA17"/>
  <c r="CZ17"/>
  <c r="CY17"/>
  <c r="CX17"/>
  <c r="CW17"/>
  <c r="CV17"/>
  <c r="CU17"/>
  <c r="CT17"/>
  <c r="CS17"/>
  <c r="CR17"/>
  <c r="CQ17"/>
  <c r="CP17"/>
  <c r="CO17"/>
  <c r="CN17"/>
  <c r="CM17"/>
  <c r="CL17"/>
  <c r="CK17"/>
  <c r="CJ17"/>
  <c r="CI17"/>
  <c r="CH17"/>
  <c r="CG17"/>
  <c r="CF17"/>
  <c r="CE17"/>
  <c r="CD17"/>
  <c r="CC17"/>
  <c r="CB17"/>
  <c r="CA17"/>
  <c r="BZ17"/>
  <c r="BY17"/>
  <c r="BX17"/>
  <c r="BW17"/>
  <c r="BV17"/>
  <c r="BU17"/>
  <c r="BT17"/>
  <c r="BS17"/>
  <c r="BR17"/>
  <c r="BQ17"/>
  <c r="BP17"/>
  <c r="BO17"/>
  <c r="BN17"/>
  <c r="DU16"/>
  <c r="DT16"/>
  <c r="DS16"/>
  <c r="DR16"/>
  <c r="DQ16"/>
  <c r="DP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U16"/>
  <c r="CT16"/>
  <c r="CS16"/>
  <c r="CR16"/>
  <c r="CQ16"/>
  <c r="CP16"/>
  <c r="CO16"/>
  <c r="CN16"/>
  <c r="CM16"/>
  <c r="CL16"/>
  <c r="CK16"/>
  <c r="CJ16"/>
  <c r="CI16"/>
  <c r="CH16"/>
  <c r="CG16"/>
  <c r="CF16"/>
  <c r="CE16"/>
  <c r="CD16"/>
  <c r="CC16"/>
  <c r="CB16"/>
  <c r="CA16"/>
  <c r="BZ16"/>
  <c r="BY16"/>
  <c r="BX16"/>
  <c r="BW16"/>
  <c r="BV16"/>
  <c r="BU16"/>
  <c r="BT16"/>
  <c r="BS16"/>
  <c r="BR16"/>
  <c r="BQ16"/>
  <c r="BP16"/>
  <c r="BO16"/>
  <c r="BN16"/>
  <c r="DU15"/>
  <c r="DT15"/>
  <c r="DS15"/>
  <c r="DR15"/>
  <c r="DQ15"/>
  <c r="DP15"/>
  <c r="DO15"/>
  <c r="DN15"/>
  <c r="DM15"/>
  <c r="DL15"/>
  <c r="DK15"/>
  <c r="DJ15"/>
  <c r="DI15"/>
  <c r="DH15"/>
  <c r="DG15"/>
  <c r="DF15"/>
  <c r="DE15"/>
  <c r="DD15"/>
  <c r="DC15"/>
  <c r="DB15"/>
  <c r="DA15"/>
  <c r="CZ15"/>
  <c r="CY15"/>
  <c r="CX15"/>
  <c r="CW15"/>
  <c r="CV15"/>
  <c r="CU15"/>
  <c r="CT15"/>
  <c r="CS15"/>
  <c r="CR15"/>
  <c r="CQ15"/>
  <c r="CP15"/>
  <c r="CO15"/>
  <c r="CN15"/>
  <c r="CM15"/>
  <c r="CL15"/>
  <c r="CK15"/>
  <c r="CJ15"/>
  <c r="CI15"/>
  <c r="CH15"/>
  <c r="CG15"/>
  <c r="CF15"/>
  <c r="CE15"/>
  <c r="CD15"/>
  <c r="CC15"/>
  <c r="CB15"/>
  <c r="CA15"/>
  <c r="BZ15"/>
  <c r="BY15"/>
  <c r="BX15"/>
  <c r="BW15"/>
  <c r="BV15"/>
  <c r="BU15"/>
  <c r="BT15"/>
  <c r="BS15"/>
  <c r="BR15"/>
  <c r="BQ15"/>
  <c r="BP15"/>
  <c r="BO15"/>
  <c r="BN15"/>
  <c r="DU14"/>
  <c r="DT14"/>
  <c r="DS14"/>
  <c r="DR14"/>
  <c r="DQ14"/>
  <c r="DP14"/>
  <c r="DO14"/>
  <c r="DN14"/>
  <c r="DM14"/>
  <c r="DL14"/>
  <c r="DK14"/>
  <c r="DJ14"/>
  <c r="DI14"/>
  <c r="DH14"/>
  <c r="DG14"/>
  <c r="DF14"/>
  <c r="DE14"/>
  <c r="DD14"/>
  <c r="DC14"/>
  <c r="DB14"/>
  <c r="DA14"/>
  <c r="CZ14"/>
  <c r="CY14"/>
  <c r="CX14"/>
  <c r="CW14"/>
  <c r="CV14"/>
  <c r="CU14"/>
  <c r="CT14"/>
  <c r="CS14"/>
  <c r="CR14"/>
  <c r="CQ14"/>
  <c r="CP14"/>
  <c r="CO14"/>
  <c r="CN14"/>
  <c r="CM14"/>
  <c r="CL14"/>
  <c r="CK14"/>
  <c r="CJ14"/>
  <c r="CI14"/>
  <c r="CH14"/>
  <c r="CG14"/>
  <c r="CF14"/>
  <c r="CE14"/>
  <c r="CD14"/>
  <c r="CC14"/>
  <c r="CB14"/>
  <c r="CA14"/>
  <c r="BZ14"/>
  <c r="BY14"/>
  <c r="BX14"/>
  <c r="BW14"/>
  <c r="BV14"/>
  <c r="BU14"/>
  <c r="BT14"/>
  <c r="BS14"/>
  <c r="BR14"/>
  <c r="BQ14"/>
  <c r="BP14"/>
  <c r="BO14"/>
  <c r="BN14"/>
  <c r="DU13"/>
  <c r="DT13"/>
  <c r="DS13"/>
  <c r="DR13"/>
  <c r="DQ13"/>
  <c r="DP13"/>
  <c r="DO13"/>
  <c r="DN13"/>
  <c r="DM13"/>
  <c r="DL13"/>
  <c r="DK13"/>
  <c r="DJ13"/>
  <c r="DI13"/>
  <c r="DH13"/>
  <c r="DG13"/>
  <c r="DF13"/>
  <c r="DE13"/>
  <c r="DD13"/>
  <c r="DC13"/>
  <c r="DB13"/>
  <c r="DA13"/>
  <c r="CZ13"/>
  <c r="CY13"/>
  <c r="CX13"/>
  <c r="CW13"/>
  <c r="CV13"/>
  <c r="CU13"/>
  <c r="CT13"/>
  <c r="CS13"/>
  <c r="CR13"/>
  <c r="CQ13"/>
  <c r="CP13"/>
  <c r="CO13"/>
  <c r="CN13"/>
  <c r="CM13"/>
  <c r="CL13"/>
  <c r="CK13"/>
  <c r="CJ13"/>
  <c r="CI13"/>
  <c r="CH13"/>
  <c r="CG13"/>
  <c r="CF13"/>
  <c r="CE13"/>
  <c r="CD13"/>
  <c r="CC13"/>
  <c r="CB13"/>
  <c r="CA13"/>
  <c r="BZ13"/>
  <c r="BY13"/>
  <c r="BX13"/>
  <c r="BW13"/>
  <c r="BV13"/>
  <c r="BU13"/>
  <c r="BT13"/>
  <c r="BS13"/>
  <c r="BR13"/>
  <c r="BQ13"/>
  <c r="BP13"/>
  <c r="BO13"/>
  <c r="BN13"/>
  <c r="DU12"/>
  <c r="DT12"/>
  <c r="DS12"/>
  <c r="DR12"/>
  <c r="DQ12"/>
  <c r="DP12"/>
  <c r="DO12"/>
  <c r="DN12"/>
  <c r="DM12"/>
  <c r="DL12"/>
  <c r="DK12"/>
  <c r="DJ12"/>
  <c r="DI12"/>
  <c r="DH12"/>
  <c r="DG12"/>
  <c r="DF12"/>
  <c r="DE12"/>
  <c r="DD12"/>
  <c r="DC12"/>
  <c r="DB12"/>
  <c r="DA12"/>
  <c r="CZ12"/>
  <c r="CY12"/>
  <c r="CX12"/>
  <c r="CW12"/>
  <c r="CV12"/>
  <c r="CU12"/>
  <c r="CT12"/>
  <c r="CS12"/>
  <c r="CR12"/>
  <c r="CQ12"/>
  <c r="CP12"/>
  <c r="CO12"/>
  <c r="CN12"/>
  <c r="CM12"/>
  <c r="CL12"/>
  <c r="CK12"/>
  <c r="CJ12"/>
  <c r="CI12"/>
  <c r="CH12"/>
  <c r="CG12"/>
  <c r="CF12"/>
  <c r="CE12"/>
  <c r="CD12"/>
  <c r="CC12"/>
  <c r="CB12"/>
  <c r="CA12"/>
  <c r="BZ12"/>
  <c r="BY12"/>
  <c r="BX12"/>
  <c r="BW12"/>
  <c r="BV12"/>
  <c r="BU12"/>
  <c r="BT12"/>
  <c r="BS12"/>
  <c r="BR12"/>
  <c r="BQ12"/>
  <c r="BP12"/>
  <c r="BO12"/>
  <c r="BN12"/>
  <c r="E12"/>
  <c r="E38" s="1"/>
  <c r="D12"/>
  <c r="D38" s="1"/>
  <c r="C12"/>
  <c r="C38" s="1"/>
  <c r="B12"/>
  <c r="B12" i="2" s="1"/>
  <c r="A12" i="3"/>
  <c r="DU11"/>
  <c r="DT11"/>
  <c r="DS11"/>
  <c r="DR11"/>
  <c r="DQ11"/>
  <c r="DP11"/>
  <c r="DO11"/>
  <c r="DN11"/>
  <c r="DM11"/>
  <c r="DL11"/>
  <c r="DK11"/>
  <c r="DJ11"/>
  <c r="DI11"/>
  <c r="DH11"/>
  <c r="DG11"/>
  <c r="DF11"/>
  <c r="DE11"/>
  <c r="DD11"/>
  <c r="DC11"/>
  <c r="DB11"/>
  <c r="DA11"/>
  <c r="CZ11"/>
  <c r="CY11"/>
  <c r="CX11"/>
  <c r="CW11"/>
  <c r="CV11"/>
  <c r="CU11"/>
  <c r="CT11"/>
  <c r="CS11"/>
  <c r="CR11"/>
  <c r="CQ11"/>
  <c r="CP11"/>
  <c r="CO11"/>
  <c r="CN11"/>
  <c r="CM11"/>
  <c r="CL11"/>
  <c r="CK11"/>
  <c r="CJ11"/>
  <c r="CI11"/>
  <c r="CH11"/>
  <c r="CG11"/>
  <c r="CF11"/>
  <c r="CE11"/>
  <c r="CD11"/>
  <c r="CC11"/>
  <c r="CB11"/>
  <c r="CA11"/>
  <c r="BZ11"/>
  <c r="BY11"/>
  <c r="BX11"/>
  <c r="BW11"/>
  <c r="BV11"/>
  <c r="BU11"/>
  <c r="BT11"/>
  <c r="BS11"/>
  <c r="BR11"/>
  <c r="BQ11"/>
  <c r="BP11"/>
  <c r="BO11"/>
  <c r="BN11"/>
  <c r="E11"/>
  <c r="B11"/>
  <c r="A11"/>
  <c r="A11" i="2" s="1"/>
  <c r="DU10" i="3"/>
  <c r="DT10"/>
  <c r="DS10"/>
  <c r="DR10"/>
  <c r="DQ10"/>
  <c r="DP10"/>
  <c r="DO10"/>
  <c r="DN10"/>
  <c r="DM10"/>
  <c r="DL10"/>
  <c r="DK10"/>
  <c r="DJ10"/>
  <c r="DI10"/>
  <c r="DH10"/>
  <c r="DG10"/>
  <c r="DF10"/>
  <c r="DE10"/>
  <c r="DD10"/>
  <c r="DC10"/>
  <c r="DB10"/>
  <c r="DA10"/>
  <c r="CZ10"/>
  <c r="CY10"/>
  <c r="CX10"/>
  <c r="CW10"/>
  <c r="CV10"/>
  <c r="CU10"/>
  <c r="CT10"/>
  <c r="CS10"/>
  <c r="CR10"/>
  <c r="CQ10"/>
  <c r="CP10"/>
  <c r="CO10"/>
  <c r="CN10"/>
  <c r="CM10"/>
  <c r="CL10"/>
  <c r="CK10"/>
  <c r="CJ10"/>
  <c r="CI10"/>
  <c r="CH10"/>
  <c r="CG10"/>
  <c r="CF10"/>
  <c r="CE10"/>
  <c r="CD10"/>
  <c r="CC10"/>
  <c r="CB10"/>
  <c r="CA10"/>
  <c r="BZ10"/>
  <c r="BY10"/>
  <c r="BX10"/>
  <c r="BW10"/>
  <c r="BV10"/>
  <c r="BU10"/>
  <c r="BT10"/>
  <c r="BS10"/>
  <c r="BR10"/>
  <c r="BQ10"/>
  <c r="BP10"/>
  <c r="BO10"/>
  <c r="BN10"/>
  <c r="E10"/>
  <c r="B10"/>
  <c r="A10"/>
  <c r="DU9"/>
  <c r="DT9"/>
  <c r="DS9"/>
  <c r="DR9"/>
  <c r="DQ9"/>
  <c r="DP9"/>
  <c r="DO9"/>
  <c r="DN9"/>
  <c r="DM9"/>
  <c r="DL9"/>
  <c r="DK9"/>
  <c r="DJ9"/>
  <c r="DI9"/>
  <c r="DH9"/>
  <c r="DG9"/>
  <c r="DF9"/>
  <c r="DE9"/>
  <c r="DD9"/>
  <c r="DC9"/>
  <c r="DB9"/>
  <c r="DA9"/>
  <c r="CZ9"/>
  <c r="CY9"/>
  <c r="CX9"/>
  <c r="CW9"/>
  <c r="CV9"/>
  <c r="CU9"/>
  <c r="CT9"/>
  <c r="CS9"/>
  <c r="CR9"/>
  <c r="CQ9"/>
  <c r="CP9"/>
  <c r="CO9"/>
  <c r="CN9"/>
  <c r="CM9"/>
  <c r="CL9"/>
  <c r="CK9"/>
  <c r="CJ9"/>
  <c r="CI9"/>
  <c r="CH9"/>
  <c r="CG9"/>
  <c r="CF9"/>
  <c r="CE9"/>
  <c r="CD9"/>
  <c r="CC9"/>
  <c r="CB9"/>
  <c r="CA9"/>
  <c r="BZ9"/>
  <c r="BY9"/>
  <c r="BX9"/>
  <c r="BW9"/>
  <c r="BV9"/>
  <c r="BU9"/>
  <c r="BT9"/>
  <c r="BS9"/>
  <c r="BR9"/>
  <c r="BQ9"/>
  <c r="BP9"/>
  <c r="BO9"/>
  <c r="BN9"/>
  <c r="E9"/>
  <c r="E9" i="2" s="1"/>
  <c r="B9" i="3"/>
  <c r="B9" i="2" s="1"/>
  <c r="A9" i="3"/>
  <c r="A9" i="2" s="1"/>
  <c r="DU8" i="3"/>
  <c r="DT8"/>
  <c r="DS8"/>
  <c r="DR8"/>
  <c r="DQ8"/>
  <c r="DP8"/>
  <c r="DO8"/>
  <c r="DN8"/>
  <c r="DM8"/>
  <c r="DL8"/>
  <c r="DK8"/>
  <c r="DJ8"/>
  <c r="DI8"/>
  <c r="DH8"/>
  <c r="DG8"/>
  <c r="DF8"/>
  <c r="DE8"/>
  <c r="DD8"/>
  <c r="DC8"/>
  <c r="DB8"/>
  <c r="DA8"/>
  <c r="CZ8"/>
  <c r="CY8"/>
  <c r="CX8"/>
  <c r="CW8"/>
  <c r="CV8"/>
  <c r="CU8"/>
  <c r="CT8"/>
  <c r="CS8"/>
  <c r="CR8"/>
  <c r="CQ8"/>
  <c r="CP8"/>
  <c r="CO8"/>
  <c r="CN8"/>
  <c r="CM8"/>
  <c r="CL8"/>
  <c r="CK8"/>
  <c r="CJ8"/>
  <c r="CI8"/>
  <c r="CH8"/>
  <c r="CG8"/>
  <c r="CF8"/>
  <c r="CE8"/>
  <c r="CD8"/>
  <c r="CC8"/>
  <c r="CB8"/>
  <c r="CA8"/>
  <c r="BZ8"/>
  <c r="BY8"/>
  <c r="BX8"/>
  <c r="BW8"/>
  <c r="BV8"/>
  <c r="BU8"/>
  <c r="BT8"/>
  <c r="BS8"/>
  <c r="BR8"/>
  <c r="BQ8"/>
  <c r="BP8"/>
  <c r="BO8"/>
  <c r="BN8"/>
  <c r="E8"/>
  <c r="E37" s="1"/>
  <c r="D8"/>
  <c r="D8" i="2" s="1"/>
  <c r="C8" i="3"/>
  <c r="C37" s="1"/>
  <c r="B8"/>
  <c r="B37" s="1"/>
  <c r="A8"/>
  <c r="A37" s="1"/>
  <c r="DU7"/>
  <c r="DT7"/>
  <c r="DS7"/>
  <c r="DR7"/>
  <c r="DQ7"/>
  <c r="DP7"/>
  <c r="DO7"/>
  <c r="DN7"/>
  <c r="DM7"/>
  <c r="DL7"/>
  <c r="DK7"/>
  <c r="DJ7"/>
  <c r="DI7"/>
  <c r="DH7"/>
  <c r="DG7"/>
  <c r="DF7"/>
  <c r="DE7"/>
  <c r="DD7"/>
  <c r="DC7"/>
  <c r="DB7"/>
  <c r="DA7"/>
  <c r="CZ7"/>
  <c r="CY7"/>
  <c r="CX7"/>
  <c r="CW7"/>
  <c r="CV7"/>
  <c r="CU7"/>
  <c r="CT7"/>
  <c r="CS7"/>
  <c r="CR7"/>
  <c r="CQ7"/>
  <c r="CP7"/>
  <c r="CO7"/>
  <c r="CN7"/>
  <c r="CM7"/>
  <c r="CL7"/>
  <c r="CK7"/>
  <c r="CJ7"/>
  <c r="CI7"/>
  <c r="CH7"/>
  <c r="CG7"/>
  <c r="CF7"/>
  <c r="CE7"/>
  <c r="CD7"/>
  <c r="CC7"/>
  <c r="CB7"/>
  <c r="CA7"/>
  <c r="BZ7"/>
  <c r="BY7"/>
  <c r="BX7"/>
  <c r="BW7"/>
  <c r="BV7"/>
  <c r="BU7"/>
  <c r="BT7"/>
  <c r="BS7"/>
  <c r="BR7"/>
  <c r="BQ7"/>
  <c r="BP7"/>
  <c r="BO7"/>
  <c r="BN7"/>
  <c r="E7"/>
  <c r="D7"/>
  <c r="C7"/>
  <c r="B7"/>
  <c r="B36" s="1"/>
  <c r="A7"/>
  <c r="A36" s="1"/>
  <c r="DU6"/>
  <c r="DT6"/>
  <c r="DS6"/>
  <c r="DR6"/>
  <c r="DQ6"/>
  <c r="DP6"/>
  <c r="DO6"/>
  <c r="DN6"/>
  <c r="DM6"/>
  <c r="DL6"/>
  <c r="DK6"/>
  <c r="DJ6"/>
  <c r="DI6"/>
  <c r="DH6"/>
  <c r="DG6"/>
  <c r="DF6"/>
  <c r="DE6"/>
  <c r="DD6"/>
  <c r="DC6"/>
  <c r="DB6"/>
  <c r="DA6"/>
  <c r="CZ6"/>
  <c r="CY6"/>
  <c r="CX6"/>
  <c r="CW6"/>
  <c r="CV6"/>
  <c r="CU6"/>
  <c r="CT6"/>
  <c r="CS6"/>
  <c r="CR6"/>
  <c r="CQ6"/>
  <c r="CP6"/>
  <c r="CO6"/>
  <c r="CN6"/>
  <c r="CM6"/>
  <c r="CL6"/>
  <c r="CK6"/>
  <c r="CJ6"/>
  <c r="CI6"/>
  <c r="CH6"/>
  <c r="CG6"/>
  <c r="CF6"/>
  <c r="CE6"/>
  <c r="CD6"/>
  <c r="CC6"/>
  <c r="CB6"/>
  <c r="CA6"/>
  <c r="BZ6"/>
  <c r="BY6"/>
  <c r="BX6"/>
  <c r="BW6"/>
  <c r="BV6"/>
  <c r="BU6"/>
  <c r="BT6"/>
  <c r="BS6"/>
  <c r="BR6"/>
  <c r="BQ6"/>
  <c r="BP6"/>
  <c r="BO6"/>
  <c r="BN6"/>
  <c r="E6"/>
  <c r="E35" s="1"/>
  <c r="D6"/>
  <c r="D35" s="1"/>
  <c r="C6"/>
  <c r="C35" s="1"/>
  <c r="B6"/>
  <c r="B35" s="1"/>
  <c r="A6"/>
  <c r="A6" i="2" s="1"/>
  <c r="DU5" i="3"/>
  <c r="DT5"/>
  <c r="DS5"/>
  <c r="DR5"/>
  <c r="DQ5"/>
  <c r="DP5"/>
  <c r="DO5"/>
  <c r="DN5"/>
  <c r="DM5"/>
  <c r="DL5"/>
  <c r="DK5"/>
  <c r="DJ5"/>
  <c r="DI5"/>
  <c r="DH5"/>
  <c r="DG5"/>
  <c r="DF5"/>
  <c r="DE5"/>
  <c r="DD5"/>
  <c r="DC5"/>
  <c r="DB5"/>
  <c r="DA5"/>
  <c r="CZ5"/>
  <c r="CY5"/>
  <c r="CX5"/>
  <c r="CW5"/>
  <c r="CV5"/>
  <c r="CU5"/>
  <c r="CT5"/>
  <c r="CS5"/>
  <c r="CR5"/>
  <c r="CQ5"/>
  <c r="CP5"/>
  <c r="CO5"/>
  <c r="CN5"/>
  <c r="CM5"/>
  <c r="CL5"/>
  <c r="CK5"/>
  <c r="CJ5"/>
  <c r="CI5"/>
  <c r="CH5"/>
  <c r="CG5"/>
  <c r="CF5"/>
  <c r="CE5"/>
  <c r="CD5"/>
  <c r="CC5"/>
  <c r="CB5"/>
  <c r="CA5"/>
  <c r="BZ5"/>
  <c r="BY5"/>
  <c r="BX5"/>
  <c r="BW5"/>
  <c r="BV5"/>
  <c r="BU5"/>
  <c r="BT5"/>
  <c r="BS5"/>
  <c r="BR5"/>
  <c r="BQ5"/>
  <c r="BP5"/>
  <c r="BO5"/>
  <c r="BN5"/>
  <c r="E5"/>
  <c r="D5"/>
  <c r="D34" s="1"/>
  <c r="C5"/>
  <c r="B5"/>
  <c r="B34" s="1"/>
  <c r="A5"/>
  <c r="A34" s="1"/>
  <c r="DU4"/>
  <c r="DT4"/>
  <c r="DS4"/>
  <c r="DR4"/>
  <c r="DQ4"/>
  <c r="DP4"/>
  <c r="DO4"/>
  <c r="DN4"/>
  <c r="DM4"/>
  <c r="DL4"/>
  <c r="DK4"/>
  <c r="DJ4"/>
  <c r="DI4"/>
  <c r="DH4"/>
  <c r="DG4"/>
  <c r="DF4"/>
  <c r="DE4"/>
  <c r="DD4"/>
  <c r="DC4"/>
  <c r="DB4"/>
  <c r="DA4"/>
  <c r="CZ4"/>
  <c r="CY4"/>
  <c r="CX4"/>
  <c r="CW4"/>
  <c r="CV4"/>
  <c r="CU4"/>
  <c r="CT4"/>
  <c r="CS4"/>
  <c r="CR4"/>
  <c r="CQ4"/>
  <c r="CP4"/>
  <c r="CO4"/>
  <c r="CN4"/>
  <c r="CM4"/>
  <c r="CL4"/>
  <c r="CK4"/>
  <c r="CJ4"/>
  <c r="CI4"/>
  <c r="CH4"/>
  <c r="CG4"/>
  <c r="CF4"/>
  <c r="CE4"/>
  <c r="CD4"/>
  <c r="CC4"/>
  <c r="CB4"/>
  <c r="CA4"/>
  <c r="BZ4"/>
  <c r="BY4"/>
  <c r="BX4"/>
  <c r="BW4"/>
  <c r="BV4"/>
  <c r="BU4"/>
  <c r="BT4"/>
  <c r="BS4"/>
  <c r="BR4"/>
  <c r="BQ4"/>
  <c r="BP4"/>
  <c r="BO4"/>
  <c r="BN4"/>
  <c r="E4"/>
  <c r="E33" s="1"/>
  <c r="D4"/>
  <c r="D33" s="1"/>
  <c r="C4"/>
  <c r="C33" s="1"/>
  <c r="B4"/>
  <c r="A4"/>
  <c r="DU3"/>
  <c r="DT3"/>
  <c r="DS3"/>
  <c r="DR3"/>
  <c r="DQ3"/>
  <c r="DP3"/>
  <c r="DO3"/>
  <c r="DN3"/>
  <c r="DM3"/>
  <c r="DL3"/>
  <c r="DK3"/>
  <c r="DJ3"/>
  <c r="DI3"/>
  <c r="DH3"/>
  <c r="DG3"/>
  <c r="DF3"/>
  <c r="DE3"/>
  <c r="DD3"/>
  <c r="DC3"/>
  <c r="DB3"/>
  <c r="DA3"/>
  <c r="CZ3"/>
  <c r="CY3"/>
  <c r="CX3"/>
  <c r="CW3"/>
  <c r="CV3"/>
  <c r="CU3"/>
  <c r="CT3"/>
  <c r="CS3"/>
  <c r="CR3"/>
  <c r="CQ3"/>
  <c r="CP3"/>
  <c r="CO3"/>
  <c r="CN3"/>
  <c r="CM3"/>
  <c r="CL3"/>
  <c r="CK3"/>
  <c r="CJ3"/>
  <c r="CI3"/>
  <c r="CH3"/>
  <c r="CG3"/>
  <c r="CF3"/>
  <c r="CE3"/>
  <c r="CD3"/>
  <c r="CC3"/>
  <c r="CB3"/>
  <c r="CA3"/>
  <c r="BZ3"/>
  <c r="BY3"/>
  <c r="BX3"/>
  <c r="BW3"/>
  <c r="BV3"/>
  <c r="BU3"/>
  <c r="BT3"/>
  <c r="BS3"/>
  <c r="BR3"/>
  <c r="BQ3"/>
  <c r="BP3"/>
  <c r="BO3"/>
  <c r="BN3"/>
  <c r="E3"/>
  <c r="B3"/>
  <c r="A3"/>
  <c r="E2"/>
  <c r="D2"/>
  <c r="D2" i="2" s="1"/>
  <c r="C2" i="3"/>
  <c r="B2"/>
  <c r="B2" i="2" s="1"/>
  <c r="A2" i="3"/>
  <c r="E12" i="2"/>
  <c r="D12"/>
  <c r="C12"/>
  <c r="E11"/>
  <c r="D11"/>
  <c r="C11"/>
  <c r="B11"/>
  <c r="E10"/>
  <c r="D10"/>
  <c r="C10"/>
  <c r="B10"/>
  <c r="A10"/>
  <c r="D9"/>
  <c r="C9"/>
  <c r="E8"/>
  <c r="C8"/>
  <c r="B8"/>
  <c r="A8"/>
  <c r="B7"/>
  <c r="A7"/>
  <c r="E6"/>
  <c r="D6"/>
  <c r="C6"/>
  <c r="B6"/>
  <c r="D5"/>
  <c r="C5"/>
  <c r="B5"/>
  <c r="A5"/>
  <c r="E4"/>
  <c r="D4"/>
  <c r="C4"/>
  <c r="A4"/>
  <c r="E3"/>
  <c r="D3"/>
  <c r="C3"/>
  <c r="B3"/>
  <c r="A3"/>
  <c r="E2"/>
  <c r="C2"/>
  <c r="A2"/>
  <c r="A22" i="3"/>
  <c r="C26" l="1"/>
  <c r="B26"/>
  <c r="B33"/>
  <c r="B4" i="2"/>
  <c r="D7"/>
  <c r="D36" i="3"/>
  <c r="C36"/>
  <c r="C7" i="2"/>
  <c r="A35" i="3"/>
  <c r="B38"/>
  <c r="A12" i="2"/>
  <c r="A38" i="3"/>
  <c r="E34"/>
  <c r="E5" i="2"/>
  <c r="E7"/>
  <c r="E36" i="3"/>
  <c r="F32"/>
  <c r="F34"/>
  <c r="F33"/>
  <c r="F31"/>
  <c r="F37"/>
  <c r="F38"/>
  <c r="C61"/>
  <c r="C53"/>
  <c r="C51"/>
  <c r="C55"/>
  <c r="C59"/>
  <c r="C63"/>
  <c r="F30"/>
  <c r="F35"/>
  <c r="F36"/>
  <c r="B63" l="1"/>
  <c r="B59"/>
  <c r="B55"/>
  <c r="B51"/>
  <c r="B53"/>
  <c r="B61"/>
  <c r="BJ65" l="1"/>
  <c r="BJ66" s="1"/>
  <c r="BB65"/>
  <c r="BB66" s="1"/>
  <c r="AT65"/>
  <c r="AT66" s="1"/>
  <c r="AL65"/>
  <c r="AL66" s="1"/>
  <c r="AD65"/>
  <c r="AD66" s="1"/>
  <c r="V65"/>
  <c r="V66" s="1"/>
  <c r="N65"/>
  <c r="N66" s="1"/>
  <c r="F65"/>
  <c r="F66" s="1"/>
  <c r="AV65"/>
  <c r="AV66" s="1"/>
  <c r="P65"/>
  <c r="P66" s="1"/>
  <c r="BC65"/>
  <c r="BC66" s="1"/>
  <c r="AU65"/>
  <c r="AU66" s="1"/>
  <c r="AM65"/>
  <c r="AM66" s="1"/>
  <c r="AE65"/>
  <c r="AE66" s="1"/>
  <c r="W65"/>
  <c r="W66" s="1"/>
  <c r="O65"/>
  <c r="O66" s="1"/>
  <c r="G65"/>
  <c r="G66" s="1"/>
  <c r="X65"/>
  <c r="X66" s="1"/>
  <c r="BE65"/>
  <c r="BE66" s="1"/>
  <c r="AW65"/>
  <c r="AW66" s="1"/>
  <c r="AO65"/>
  <c r="AO66" s="1"/>
  <c r="AG65"/>
  <c r="AG66" s="1"/>
  <c r="Y65"/>
  <c r="Y66" s="1"/>
  <c r="Q65"/>
  <c r="Q66" s="1"/>
  <c r="I65"/>
  <c r="I66" s="1"/>
  <c r="BF65"/>
  <c r="BF66" s="1"/>
  <c r="AX65"/>
  <c r="AX66" s="1"/>
  <c r="AP65"/>
  <c r="AP66" s="1"/>
  <c r="AH65"/>
  <c r="AH66" s="1"/>
  <c r="Z65"/>
  <c r="Z66" s="1"/>
  <c r="R65"/>
  <c r="R66" s="1"/>
  <c r="J65"/>
  <c r="J66" s="1"/>
  <c r="B65"/>
  <c r="B66" s="1"/>
  <c r="BI65"/>
  <c r="BI66" s="1"/>
  <c r="BA65"/>
  <c r="BA66" s="1"/>
  <c r="AS65"/>
  <c r="AS66" s="1"/>
  <c r="AK65"/>
  <c r="AK66" s="1"/>
  <c r="AC65"/>
  <c r="AC66" s="1"/>
  <c r="U65"/>
  <c r="U66" s="1"/>
  <c r="M65"/>
  <c r="M66" s="1"/>
  <c r="E65"/>
  <c r="E66" s="1"/>
  <c r="BD65"/>
  <c r="BD66" s="1"/>
  <c r="AN65"/>
  <c r="AN66" s="1"/>
  <c r="AF65"/>
  <c r="AF66" s="1"/>
  <c r="H65"/>
  <c r="H66" s="1"/>
  <c r="AJ65"/>
  <c r="AJ66" s="1"/>
  <c r="D65"/>
  <c r="D66" s="1"/>
  <c r="AR65"/>
  <c r="AR66" s="1"/>
  <c r="AZ65"/>
  <c r="AZ66" s="1"/>
  <c r="AQ65"/>
  <c r="AQ66" s="1"/>
  <c r="K65"/>
  <c r="K66" s="1"/>
  <c r="L65"/>
  <c r="L66" s="1"/>
  <c r="T65"/>
  <c r="T66" s="1"/>
  <c r="BG65"/>
  <c r="BG66" s="1"/>
  <c r="AA65"/>
  <c r="AA66" s="1"/>
  <c r="BH65"/>
  <c r="BH66" s="1"/>
  <c r="AB65"/>
  <c r="AB66" s="1"/>
  <c r="AI65"/>
  <c r="AI66" s="1"/>
  <c r="C65"/>
  <c r="C66" s="1"/>
  <c r="AY65"/>
  <c r="AY66" s="1"/>
  <c r="S65"/>
  <c r="S66" s="1"/>
  <c r="BJ57"/>
  <c r="BJ58" s="1"/>
  <c r="BB57"/>
  <c r="BB58" s="1"/>
  <c r="AT57"/>
  <c r="AT58" s="1"/>
  <c r="AL57"/>
  <c r="AL58" s="1"/>
  <c r="AD57"/>
  <c r="AD58" s="1"/>
  <c r="V57"/>
  <c r="V58" s="1"/>
  <c r="N57"/>
  <c r="N58" s="1"/>
  <c r="F57"/>
  <c r="F58" s="1"/>
  <c r="BD57"/>
  <c r="BD58" s="1"/>
  <c r="AV57"/>
  <c r="AV58" s="1"/>
  <c r="AF57"/>
  <c r="AF58" s="1"/>
  <c r="P57"/>
  <c r="P58" s="1"/>
  <c r="H57"/>
  <c r="H58" s="1"/>
  <c r="BC57"/>
  <c r="BC58" s="1"/>
  <c r="AU57"/>
  <c r="AU58" s="1"/>
  <c r="AM57"/>
  <c r="AM58" s="1"/>
  <c r="AE57"/>
  <c r="AE58" s="1"/>
  <c r="W57"/>
  <c r="W58" s="1"/>
  <c r="O57"/>
  <c r="O58" s="1"/>
  <c r="G57"/>
  <c r="G58" s="1"/>
  <c r="X57"/>
  <c r="X58" s="1"/>
  <c r="BE57"/>
  <c r="BE58" s="1"/>
  <c r="AW57"/>
  <c r="AW58" s="1"/>
  <c r="AO57"/>
  <c r="AO58" s="1"/>
  <c r="AG57"/>
  <c r="AG58" s="1"/>
  <c r="Y57"/>
  <c r="Y58" s="1"/>
  <c r="Q57"/>
  <c r="Q58" s="1"/>
  <c r="I57"/>
  <c r="I58" s="1"/>
  <c r="BF57"/>
  <c r="BF58" s="1"/>
  <c r="AX57"/>
  <c r="AX58" s="1"/>
  <c r="AP57"/>
  <c r="AP58" s="1"/>
  <c r="AH57"/>
  <c r="AH58" s="1"/>
  <c r="Z57"/>
  <c r="Z58" s="1"/>
  <c r="R57"/>
  <c r="R58" s="1"/>
  <c r="J57"/>
  <c r="J58" s="1"/>
  <c r="B57"/>
  <c r="B58" s="1"/>
  <c r="B28" s="1"/>
  <c r="BI57"/>
  <c r="BI58" s="1"/>
  <c r="BA57"/>
  <c r="BA58" s="1"/>
  <c r="AS57"/>
  <c r="AS58" s="1"/>
  <c r="AK57"/>
  <c r="AK58" s="1"/>
  <c r="AC57"/>
  <c r="AC58" s="1"/>
  <c r="U57"/>
  <c r="U58" s="1"/>
  <c r="M57"/>
  <c r="M58" s="1"/>
  <c r="E57"/>
  <c r="E58" s="1"/>
  <c r="AN57"/>
  <c r="AN58" s="1"/>
  <c r="AJ57"/>
  <c r="AJ58" s="1"/>
  <c r="D57"/>
  <c r="D58" s="1"/>
  <c r="AR57"/>
  <c r="AR58" s="1"/>
  <c r="L57"/>
  <c r="L58" s="1"/>
  <c r="AZ57"/>
  <c r="AZ58" s="1"/>
  <c r="AQ57"/>
  <c r="AQ58" s="1"/>
  <c r="K57"/>
  <c r="K58" s="1"/>
  <c r="BG57"/>
  <c r="BG58" s="1"/>
  <c r="AA57"/>
  <c r="AA58" s="1"/>
  <c r="BH57"/>
  <c r="BH58" s="1"/>
  <c r="AB57"/>
  <c r="AB58" s="1"/>
  <c r="AI57"/>
  <c r="AI58" s="1"/>
  <c r="C57"/>
  <c r="C58" s="1"/>
  <c r="AY57"/>
  <c r="AY58" s="1"/>
  <c r="S57"/>
  <c r="S58" s="1"/>
  <c r="T57"/>
  <c r="T58" s="1"/>
  <c r="V2" l="1"/>
  <c r="CD2"/>
  <c r="BT2"/>
  <c r="L2"/>
  <c r="BR2"/>
  <c r="J2"/>
  <c r="BJ2"/>
  <c r="DR2"/>
  <c r="CI2"/>
  <c r="AA2"/>
  <c r="BS2"/>
  <c r="K2"/>
  <c r="AG2"/>
  <c r="CO2"/>
  <c r="AD2"/>
  <c r="CL2"/>
  <c r="AM2"/>
  <c r="CU2"/>
  <c r="BD2"/>
  <c r="DL2"/>
  <c r="DI2"/>
  <c r="BA2"/>
  <c r="DP2"/>
  <c r="BH2"/>
  <c r="DN2"/>
  <c r="BF2"/>
  <c r="Y2"/>
  <c r="CG2"/>
  <c r="AO2"/>
  <c r="CW2"/>
  <c r="CY2"/>
  <c r="AQ2"/>
  <c r="BK2"/>
  <c r="DS2"/>
  <c r="DA2"/>
  <c r="AS2"/>
  <c r="Q2"/>
  <c r="BY2"/>
  <c r="AE2"/>
  <c r="CM2"/>
  <c r="AU2"/>
  <c r="DC2"/>
  <c r="AN2"/>
  <c r="CV2"/>
  <c r="CS2"/>
  <c r="AK2"/>
  <c r="CZ2"/>
  <c r="AR2"/>
  <c r="CX2"/>
  <c r="AP2"/>
  <c r="I2"/>
  <c r="BQ2"/>
  <c r="H2"/>
  <c r="BP2"/>
  <c r="CA2"/>
  <c r="S2"/>
  <c r="BL2"/>
  <c r="DT2"/>
  <c r="G2"/>
  <c r="BO2"/>
  <c r="DH2"/>
  <c r="AZ2"/>
  <c r="AL2"/>
  <c r="CT2"/>
  <c r="AF2"/>
  <c r="CN2"/>
  <c r="CR2"/>
  <c r="AJ2"/>
  <c r="DO2"/>
  <c r="BG2"/>
  <c r="F2"/>
  <c r="BN2"/>
  <c r="BC2"/>
  <c r="DK2"/>
  <c r="X2"/>
  <c r="CF2"/>
  <c r="CC2"/>
  <c r="U2"/>
  <c r="CJ2"/>
  <c r="AB2"/>
  <c r="CH2"/>
  <c r="Z2"/>
  <c r="DG2"/>
  <c r="AY2"/>
  <c r="BE2"/>
  <c r="DM2"/>
  <c r="N2"/>
  <c r="BV2"/>
  <c r="W2"/>
  <c r="CE2"/>
  <c r="DQ2"/>
  <c r="BI2"/>
  <c r="AV2"/>
  <c r="DD2"/>
  <c r="DF2"/>
  <c r="AX2"/>
  <c r="O2"/>
  <c r="BW2"/>
  <c r="CK2"/>
  <c r="AC2"/>
  <c r="CP2"/>
  <c r="AH2"/>
  <c r="BM2"/>
  <c r="DU2"/>
  <c r="BB2"/>
  <c r="DJ2"/>
  <c r="AT2"/>
  <c r="DB2"/>
  <c r="P2"/>
  <c r="BX2"/>
  <c r="BU2"/>
  <c r="M2"/>
  <c r="CB2"/>
  <c r="T2"/>
  <c r="BZ2"/>
  <c r="R2"/>
  <c r="CQ2"/>
  <c r="AI2"/>
  <c r="AW2"/>
  <c r="DE2"/>
  <c r="L3"/>
  <c r="K3"/>
  <c r="AS3"/>
  <c r="AJ3"/>
  <c r="AY3"/>
  <c r="BI3"/>
  <c r="AC3"/>
  <c r="R3"/>
  <c r="BD3"/>
  <c r="I3"/>
  <c r="G3"/>
  <c r="X3"/>
  <c r="AP3"/>
  <c r="Z3"/>
  <c r="T3"/>
  <c r="AQ3"/>
  <c r="S3"/>
  <c r="M3"/>
  <c r="AZ3"/>
  <c r="AI3"/>
  <c r="AO3"/>
  <c r="AV3"/>
  <c r="T12"/>
  <c r="Q11"/>
  <c r="L10"/>
  <c r="G9"/>
  <c r="BK7"/>
  <c r="BH6"/>
  <c r="BE5"/>
  <c r="BB4"/>
  <c r="N12"/>
  <c r="L8"/>
  <c r="S5"/>
  <c r="U12"/>
  <c r="J11"/>
  <c r="BL9"/>
  <c r="BG8"/>
  <c r="BD7"/>
  <c r="BA6"/>
  <c r="AP5"/>
  <c r="AM4"/>
  <c r="BG11"/>
  <c r="AO9"/>
  <c r="AT6"/>
  <c r="H4"/>
  <c r="G12"/>
  <c r="BK10"/>
  <c r="BF9"/>
  <c r="BA8"/>
  <c r="AP7"/>
  <c r="AM6"/>
  <c r="AJ5"/>
  <c r="AG4"/>
  <c r="AA12"/>
  <c r="X11"/>
  <c r="S10"/>
  <c r="N9"/>
  <c r="Q8"/>
  <c r="N7"/>
  <c r="BL5"/>
  <c r="BI4"/>
  <c r="AI11"/>
  <c r="AZ8"/>
  <c r="P4"/>
  <c r="AP10"/>
  <c r="AY7"/>
  <c r="BD12"/>
  <c r="BA7"/>
  <c r="AR9"/>
  <c r="I12"/>
  <c r="S9"/>
  <c r="Z6"/>
  <c r="M11"/>
  <c r="I10"/>
  <c r="AL11"/>
  <c r="AO12"/>
  <c r="AY9"/>
  <c r="BF6"/>
  <c r="L4"/>
  <c r="AN10"/>
  <c r="AR7"/>
  <c r="BG4"/>
  <c r="AA9"/>
  <c r="AT11"/>
  <c r="AU8"/>
  <c r="AS5"/>
  <c r="AD5"/>
  <c r="BD6"/>
  <c r="AH4"/>
  <c r="AG11"/>
  <c r="W9"/>
  <c r="O7"/>
  <c r="I5"/>
  <c r="BH8"/>
  <c r="AK12"/>
  <c r="U10"/>
  <c r="K8"/>
  <c r="BF5"/>
  <c r="AT12"/>
  <c r="Q7"/>
  <c r="W12"/>
  <c r="O10"/>
  <c r="BF7"/>
  <c r="AZ5"/>
  <c r="AQ12"/>
  <c r="AI10"/>
  <c r="AG8"/>
  <c r="S6"/>
  <c r="M4"/>
  <c r="AA5"/>
  <c r="AD8"/>
  <c r="AQ4"/>
  <c r="AK11"/>
  <c r="BH9"/>
  <c r="AG12"/>
  <c r="AB4"/>
  <c r="AH10"/>
  <c r="BF4"/>
  <c r="AT8"/>
  <c r="AG10"/>
  <c r="AI9"/>
  <c r="O8"/>
  <c r="F12"/>
  <c r="BG12"/>
  <c r="AT7"/>
  <c r="AC4"/>
  <c r="AU11"/>
  <c r="H10"/>
  <c r="AV10"/>
  <c r="L7"/>
  <c r="U11"/>
  <c r="BK11"/>
  <c r="BI11"/>
  <c r="S4"/>
  <c r="F8"/>
  <c r="BJ11"/>
  <c r="BL10"/>
  <c r="AN12"/>
  <c r="I11"/>
  <c r="AW5"/>
  <c r="AV4"/>
  <c r="AY8"/>
  <c r="AE4"/>
  <c r="BK12"/>
  <c r="AS8"/>
  <c r="AB5"/>
  <c r="K10"/>
  <c r="BD5"/>
  <c r="AW12"/>
  <c r="AX6"/>
  <c r="H6"/>
  <c r="R12"/>
  <c r="Q10"/>
  <c r="W11"/>
  <c r="AY4"/>
  <c r="Y3"/>
  <c r="AN3"/>
  <c r="AT3"/>
  <c r="AA3"/>
  <c r="BF3"/>
  <c r="AB3"/>
  <c r="J3"/>
  <c r="BA3"/>
  <c r="AK3"/>
  <c r="U3"/>
  <c r="Q3"/>
  <c r="AB12"/>
  <c r="Y11"/>
  <c r="T10"/>
  <c r="O9"/>
  <c r="J8"/>
  <c r="G7"/>
  <c r="BM5"/>
  <c r="BJ4"/>
  <c r="AD12"/>
  <c r="AJ8"/>
  <c r="AQ5"/>
  <c r="AC12"/>
  <c r="R11"/>
  <c r="M10"/>
  <c r="H9"/>
  <c r="BL7"/>
  <c r="BI6"/>
  <c r="AX5"/>
  <c r="AU4"/>
  <c r="V12"/>
  <c r="F10"/>
  <c r="BJ6"/>
  <c r="AF4"/>
  <c r="O12"/>
  <c r="L11"/>
  <c r="G10"/>
  <c r="BI8"/>
  <c r="AX7"/>
  <c r="AU6"/>
  <c r="AR5"/>
  <c r="AO4"/>
  <c r="AI12"/>
  <c r="AF11"/>
  <c r="AA10"/>
  <c r="V9"/>
  <c r="Y8"/>
  <c r="V7"/>
  <c r="K6"/>
  <c r="H5"/>
  <c r="AL12"/>
  <c r="Q9"/>
  <c r="AN4"/>
  <c r="BM10"/>
  <c r="G8"/>
  <c r="T4"/>
  <c r="AF8"/>
  <c r="AX10"/>
  <c r="AF12"/>
  <c r="AK9"/>
  <c r="AW6"/>
  <c r="BB11"/>
  <c r="P12"/>
  <c r="BF12"/>
  <c r="BL12"/>
  <c r="P10"/>
  <c r="T7"/>
  <c r="AI4"/>
  <c r="BF10"/>
  <c r="W8"/>
  <c r="U5"/>
  <c r="AS9"/>
  <c r="Y12"/>
  <c r="L9"/>
  <c r="BK5"/>
  <c r="AF6"/>
  <c r="BG7"/>
  <c r="AH6"/>
  <c r="AJ12"/>
  <c r="AB10"/>
  <c r="R8"/>
  <c r="L6"/>
  <c r="BB12"/>
  <c r="BG5"/>
  <c r="Z11"/>
  <c r="P9"/>
  <c r="H7"/>
  <c r="BC4"/>
  <c r="AD10"/>
  <c r="BD4"/>
  <c r="T11"/>
  <c r="J9"/>
  <c r="BC6"/>
  <c r="AW4"/>
  <c r="AN11"/>
  <c r="AD9"/>
  <c r="AD7"/>
  <c r="P5"/>
  <c r="AG9"/>
  <c r="F11"/>
  <c r="T9"/>
  <c r="AX12"/>
  <c r="K7"/>
  <c r="G5"/>
  <c r="AZ4"/>
  <c r="AQ7"/>
  <c r="V11"/>
  <c r="AM5"/>
  <c r="AV12"/>
  <c r="X6"/>
  <c r="AI7"/>
  <c r="S7"/>
  <c r="BM4"/>
  <c r="AW8"/>
  <c r="AF5"/>
  <c r="Y7"/>
  <c r="AT5"/>
  <c r="M5"/>
  <c r="AZ7"/>
  <c r="BB5"/>
  <c r="V8"/>
  <c r="K9"/>
  <c r="AK5"/>
  <c r="BM6"/>
  <c r="BJ8"/>
  <c r="AJ7"/>
  <c r="AP12"/>
  <c r="R4"/>
  <c r="BH4"/>
  <c r="BK9"/>
  <c r="AZ6"/>
  <c r="AW7"/>
  <c r="BD9"/>
  <c r="AH5"/>
  <c r="V6"/>
  <c r="AX9"/>
  <c r="Y4"/>
  <c r="F9"/>
  <c r="BA4"/>
  <c r="X10"/>
  <c r="AL8"/>
  <c r="Z10"/>
  <c r="AB9"/>
  <c r="U7"/>
  <c r="X8"/>
  <c r="F5"/>
  <c r="AM3"/>
  <c r="BK3"/>
  <c r="AU3"/>
  <c r="BL3"/>
  <c r="AF3"/>
  <c r="BC3"/>
  <c r="W3"/>
  <c r="O3"/>
  <c r="BB3"/>
  <c r="BH3"/>
  <c r="AR3"/>
  <c r="AX3"/>
  <c r="BG3"/>
  <c r="AH3"/>
  <c r="AG3"/>
  <c r="AR12"/>
  <c r="AO11"/>
  <c r="AJ10"/>
  <c r="AE9"/>
  <c r="Z8"/>
  <c r="W7"/>
  <c r="T6"/>
  <c r="Q5"/>
  <c r="N4"/>
  <c r="Y9"/>
  <c r="N6"/>
  <c r="AS12"/>
  <c r="AH11"/>
  <c r="AC10"/>
  <c r="X9"/>
  <c r="S8"/>
  <c r="P7"/>
  <c r="M6"/>
  <c r="BK4"/>
  <c r="BJ12"/>
  <c r="BB10"/>
  <c r="AG7"/>
  <c r="BL4"/>
  <c r="AE12"/>
  <c r="AB11"/>
  <c r="W10"/>
  <c r="R9"/>
  <c r="M8"/>
  <c r="BK6"/>
  <c r="BH5"/>
  <c r="BE4"/>
  <c r="AY12"/>
  <c r="AV11"/>
  <c r="AQ10"/>
  <c r="AL9"/>
  <c r="AO8"/>
  <c r="AL7"/>
  <c r="AA6"/>
  <c r="X5"/>
  <c r="U4"/>
  <c r="AW9"/>
  <c r="AL6"/>
  <c r="AC11"/>
  <c r="AV8"/>
  <c r="W5"/>
  <c r="BI9"/>
  <c r="BC11"/>
  <c r="J4"/>
  <c r="Y10"/>
  <c r="AC7"/>
  <c r="Z4"/>
  <c r="I6"/>
  <c r="AE5"/>
  <c r="N5"/>
  <c r="BE10"/>
  <c r="BI7"/>
  <c r="O5"/>
  <c r="AS11"/>
  <c r="BL8"/>
  <c r="BJ5"/>
  <c r="O11"/>
  <c r="K4"/>
  <c r="BA9"/>
  <c r="AP6"/>
  <c r="N8"/>
  <c r="U9"/>
  <c r="BH7"/>
  <c r="F7"/>
  <c r="AZ12"/>
  <c r="AW11"/>
  <c r="AR10"/>
  <c r="AM9"/>
  <c r="AH8"/>
  <c r="AE7"/>
  <c r="AB6"/>
  <c r="Y5"/>
  <c r="V4"/>
  <c r="V10"/>
  <c r="AD6"/>
  <c r="BA12"/>
  <c r="AP11"/>
  <c r="AK10"/>
  <c r="AF9"/>
  <c r="AA8"/>
  <c r="X7"/>
  <c r="U6"/>
  <c r="J5"/>
  <c r="G4"/>
  <c r="BJ10"/>
  <c r="BE7"/>
  <c r="K5"/>
  <c r="AM12"/>
  <c r="AJ11"/>
  <c r="AE10"/>
  <c r="Z9"/>
  <c r="U8"/>
  <c r="J7"/>
  <c r="G6"/>
  <c r="BD11"/>
  <c r="AY10"/>
  <c r="AT9"/>
  <c r="AI6"/>
  <c r="BE9"/>
  <c r="M9"/>
  <c r="BE12"/>
  <c r="AR4"/>
  <c r="BC5"/>
  <c r="AL5"/>
  <c r="R6"/>
  <c r="R10"/>
  <c r="AF10"/>
  <c r="BK8"/>
  <c r="BL6"/>
  <c r="AS7"/>
  <c r="F4"/>
  <c r="L12"/>
  <c r="BC7"/>
  <c r="AY11"/>
  <c r="BI10"/>
  <c r="AS6"/>
  <c r="I9"/>
  <c r="BC10"/>
  <c r="AE6"/>
  <c r="P11"/>
  <c r="BG6"/>
  <c r="AB8"/>
  <c r="J12"/>
  <c r="BB8"/>
  <c r="BD10"/>
  <c r="BM12"/>
  <c r="P8"/>
  <c r="AA4"/>
  <c r="BJ3"/>
  <c r="AD3"/>
  <c r="AE3"/>
  <c r="AL3"/>
  <c r="F3"/>
  <c r="N3"/>
  <c r="BM3"/>
  <c r="AW3"/>
  <c r="V3"/>
  <c r="H3"/>
  <c r="BE3"/>
  <c r="P3"/>
  <c r="BH12"/>
  <c r="BE11"/>
  <c r="AZ10"/>
  <c r="AU9"/>
  <c r="AP8"/>
  <c r="AM7"/>
  <c r="AJ6"/>
  <c r="AG5"/>
  <c r="AD4"/>
  <c r="AT10"/>
  <c r="BB6"/>
  <c r="BI12"/>
  <c r="AX11"/>
  <c r="AS10"/>
  <c r="AN9"/>
  <c r="AI8"/>
  <c r="AF7"/>
  <c r="AC6"/>
  <c r="R5"/>
  <c r="O4"/>
  <c r="K11"/>
  <c r="T8"/>
  <c r="AI5"/>
  <c r="AU12"/>
  <c r="AR11"/>
  <c r="AM10"/>
  <c r="AH9"/>
  <c r="AC8"/>
  <c r="R7"/>
  <c r="O6"/>
  <c r="L5"/>
  <c r="I4"/>
  <c r="BL11"/>
  <c r="BG10"/>
  <c r="BB9"/>
  <c r="BE8"/>
  <c r="BB7"/>
  <c r="AQ6"/>
  <c r="AN5"/>
  <c r="AK4"/>
  <c r="BM9"/>
  <c r="AO7"/>
  <c r="H12"/>
  <c r="AJ9"/>
  <c r="Y6"/>
  <c r="AW10"/>
  <c r="AX4"/>
  <c r="AG6"/>
  <c r="G11"/>
  <c r="H8"/>
  <c r="AC5"/>
  <c r="BC8"/>
  <c r="J6"/>
  <c r="P6"/>
  <c r="AM11"/>
  <c r="AN8"/>
  <c r="BI5"/>
  <c r="X12"/>
  <c r="AC9"/>
  <c r="AO6"/>
  <c r="Q12"/>
  <c r="BE6"/>
  <c r="AO10"/>
  <c r="AA7"/>
  <c r="AP4"/>
  <c r="N11"/>
  <c r="J10"/>
  <c r="F6"/>
  <c r="BM11"/>
  <c r="BH10"/>
  <c r="BC9"/>
  <c r="AX8"/>
  <c r="AU7"/>
  <c r="AR6"/>
  <c r="AO5"/>
  <c r="AL4"/>
  <c r="S11"/>
  <c r="I7"/>
  <c r="X4"/>
  <c r="BF11"/>
  <c r="BA10"/>
  <c r="AV9"/>
  <c r="AQ8"/>
  <c r="AN7"/>
  <c r="AK6"/>
  <c r="Z5"/>
  <c r="W4"/>
  <c r="AA11"/>
  <c r="AR8"/>
  <c r="AY5"/>
  <c r="BC12"/>
  <c r="AZ11"/>
  <c r="AU10"/>
  <c r="AP9"/>
  <c r="AK8"/>
  <c r="Z7"/>
  <c r="W6"/>
  <c r="T5"/>
  <c r="Q4"/>
  <c r="K12"/>
  <c r="H11"/>
  <c r="BJ9"/>
  <c r="BM8"/>
  <c r="BJ7"/>
  <c r="AY6"/>
  <c r="AV5"/>
  <c r="AS4"/>
  <c r="N10"/>
  <c r="BM7"/>
  <c r="Z12"/>
  <c r="BG9"/>
  <c r="AV6"/>
  <c r="AE11"/>
  <c r="BA5"/>
  <c r="M7"/>
  <c r="AD11"/>
  <c r="AE8"/>
  <c r="AU5"/>
  <c r="AQ9"/>
  <c r="AM8"/>
  <c r="Q6"/>
  <c r="AZ9"/>
  <c r="AK7"/>
  <c r="AH12"/>
  <c r="BF8"/>
  <c r="AT4"/>
  <c r="M12"/>
  <c r="AV7"/>
  <c r="AQ11"/>
  <c r="BH11"/>
  <c r="AH7"/>
  <c r="S12"/>
  <c r="I8"/>
  <c r="AL10"/>
  <c r="AB7"/>
  <c r="BA11"/>
  <c r="BD8"/>
  <c r="AN6"/>
  <c r="AJ4"/>
  <c r="V5"/>
  <c r="V5" i="2" l="1"/>
  <c r="AJ4"/>
  <c r="AN6"/>
  <c r="BD8"/>
  <c r="BA11"/>
  <c r="AB7"/>
  <c r="AL10"/>
  <c r="I8"/>
  <c r="S12"/>
  <c r="AH7"/>
  <c r="BH11"/>
  <c r="AQ11"/>
  <c r="AV7"/>
  <c r="M12"/>
  <c r="AT4"/>
  <c r="BF8"/>
  <c r="AH12"/>
  <c r="AK7"/>
  <c r="AZ9"/>
  <c r="Q6"/>
  <c r="AM8"/>
  <c r="AQ9"/>
  <c r="AU5"/>
  <c r="AE8"/>
  <c r="AD11"/>
  <c r="M7"/>
  <c r="BA5"/>
  <c r="AE11"/>
  <c r="AV6"/>
  <c r="BG9"/>
  <c r="Z12"/>
  <c r="BM7"/>
  <c r="N10"/>
  <c r="AS4"/>
  <c r="AV5"/>
  <c r="AY6"/>
  <c r="BJ7"/>
  <c r="BM8"/>
  <c r="BJ9"/>
  <c r="H11"/>
  <c r="K12"/>
  <c r="Q4"/>
  <c r="T5"/>
  <c r="W6"/>
  <c r="Z7"/>
  <c r="AK8"/>
  <c r="AP9"/>
  <c r="AU10"/>
  <c r="AZ11"/>
  <c r="BC12"/>
  <c r="AY5"/>
  <c r="AR8"/>
  <c r="AA11"/>
  <c r="W4"/>
  <c r="Z5"/>
  <c r="AK6"/>
  <c r="AN7"/>
  <c r="AQ8"/>
  <c r="AV9"/>
  <c r="BA10"/>
  <c r="BF11"/>
  <c r="X4"/>
  <c r="I7"/>
  <c r="S11"/>
  <c r="AL4"/>
  <c r="AO5"/>
  <c r="AR6"/>
  <c r="AU7"/>
  <c r="AX8"/>
  <c r="BC9"/>
  <c r="BH10"/>
  <c r="BM11"/>
  <c r="F6"/>
  <c r="J10"/>
  <c r="N11"/>
  <c r="AP4"/>
  <c r="AA7"/>
  <c r="AO10"/>
  <c r="BE6"/>
  <c r="Q12"/>
  <c r="AO6"/>
  <c r="AC9"/>
  <c r="X12"/>
  <c r="BI5"/>
  <c r="AN8"/>
  <c r="AM11"/>
  <c r="P6"/>
  <c r="J6"/>
  <c r="BC8"/>
  <c r="AC5"/>
  <c r="H8"/>
  <c r="G11"/>
  <c r="AG6"/>
  <c r="AX4"/>
  <c r="AW10"/>
  <c r="Y6"/>
  <c r="AJ9"/>
  <c r="H12"/>
  <c r="AO7"/>
  <c r="BM9"/>
  <c r="AK4"/>
  <c r="AN5"/>
  <c r="AQ6"/>
  <c r="BB7"/>
  <c r="BE8"/>
  <c r="BB9"/>
  <c r="BG10"/>
  <c r="BL11"/>
  <c r="I4"/>
  <c r="L5"/>
  <c r="O6"/>
  <c r="R7"/>
  <c r="AC8"/>
  <c r="AH9"/>
  <c r="AM10"/>
  <c r="AR11"/>
  <c r="AU12"/>
  <c r="AI5"/>
  <c r="T8"/>
  <c r="K11"/>
  <c r="O4"/>
  <c r="R5"/>
  <c r="AC6"/>
  <c r="AF7"/>
  <c r="AI8"/>
  <c r="AN9"/>
  <c r="AS10"/>
  <c r="AX11"/>
  <c r="BI12"/>
  <c r="BB6"/>
  <c r="AT10"/>
  <c r="AD4"/>
  <c r="AG5"/>
  <c r="AJ6"/>
  <c r="AM7"/>
  <c r="AP8"/>
  <c r="AU9"/>
  <c r="AZ10"/>
  <c r="BE11"/>
  <c r="BH12"/>
  <c r="P3"/>
  <c r="BE3"/>
  <c r="H3"/>
  <c r="V3"/>
  <c r="AW3"/>
  <c r="BM3"/>
  <c r="N3"/>
  <c r="F3"/>
  <c r="AL3"/>
  <c r="AE3"/>
  <c r="AD3"/>
  <c r="BJ3"/>
  <c r="AA4"/>
  <c r="P8"/>
  <c r="BM12"/>
  <c r="BD10"/>
  <c r="BB8"/>
  <c r="J12"/>
  <c r="AB8"/>
  <c r="BG6"/>
  <c r="P11"/>
  <c r="AE6"/>
  <c r="BC10"/>
  <c r="I9"/>
  <c r="AS6"/>
  <c r="BI10"/>
  <c r="AY11"/>
  <c r="BC7"/>
  <c r="L12"/>
  <c r="F4"/>
  <c r="AS7"/>
  <c r="BL6"/>
  <c r="BK8"/>
  <c r="AF10"/>
  <c r="R10"/>
  <c r="R6"/>
  <c r="AL5"/>
  <c r="BC5"/>
  <c r="AR4"/>
  <c r="BE12"/>
  <c r="M9"/>
  <c r="BE9"/>
  <c r="AI6"/>
  <c r="AT9"/>
  <c r="AY10"/>
  <c r="BD11"/>
  <c r="G6"/>
  <c r="J7"/>
  <c r="U8"/>
  <c r="Z9"/>
  <c r="AE10"/>
  <c r="AJ11"/>
  <c r="AM12"/>
  <c r="K5"/>
  <c r="BE7"/>
  <c r="BJ10"/>
  <c r="G4"/>
  <c r="J5"/>
  <c r="U6"/>
  <c r="X7"/>
  <c r="AA8"/>
  <c r="AF9"/>
  <c r="AK10"/>
  <c r="AP11"/>
  <c r="BA12"/>
  <c r="AD6"/>
  <c r="V10"/>
  <c r="V4"/>
  <c r="Y5"/>
  <c r="AB6"/>
  <c r="AE7"/>
  <c r="AH8"/>
  <c r="AM9"/>
  <c r="AR10"/>
  <c r="AW11"/>
  <c r="AZ12"/>
  <c r="F7"/>
  <c r="BH7"/>
  <c r="U9"/>
  <c r="N8"/>
  <c r="AP6"/>
  <c r="BA9"/>
  <c r="K4"/>
  <c r="O11"/>
  <c r="BJ5"/>
  <c r="BL8"/>
  <c r="AS11"/>
  <c r="O5"/>
  <c r="BI7"/>
  <c r="BE10"/>
  <c r="N5"/>
  <c r="AE5"/>
  <c r="I6"/>
  <c r="Z4"/>
  <c r="AC7"/>
  <c r="Y10"/>
  <c r="J4"/>
  <c r="BC11"/>
  <c r="BI9"/>
  <c r="W5"/>
  <c r="AV8"/>
  <c r="AC11"/>
  <c r="AL6"/>
  <c r="AW9"/>
  <c r="U4"/>
  <c r="X5"/>
  <c r="AA6"/>
  <c r="AL7"/>
  <c r="AO8"/>
  <c r="AL9"/>
  <c r="AQ10"/>
  <c r="AV11"/>
  <c r="AY12"/>
  <c r="BE4"/>
  <c r="BH5"/>
  <c r="BK6"/>
  <c r="M8"/>
  <c r="R9"/>
  <c r="W10"/>
  <c r="AB11"/>
  <c r="AE12"/>
  <c r="BL4"/>
  <c r="AG7"/>
  <c r="BB10"/>
  <c r="BJ12"/>
  <c r="BK4"/>
  <c r="M6"/>
  <c r="P7"/>
  <c r="S8"/>
  <c r="X9"/>
  <c r="AC10"/>
  <c r="AH11"/>
  <c r="AS12"/>
  <c r="N6"/>
  <c r="Y9"/>
  <c r="N4"/>
  <c r="Q5"/>
  <c r="T6"/>
  <c r="W7"/>
  <c r="Z8"/>
  <c r="AE9"/>
  <c r="AJ10"/>
  <c r="AO11"/>
  <c r="AR12"/>
  <c r="AG3"/>
  <c r="AH3"/>
  <c r="BG3"/>
  <c r="AX3"/>
  <c r="AR3"/>
  <c r="BH3"/>
  <c r="BB3"/>
  <c r="O3"/>
  <c r="W3"/>
  <c r="BC3"/>
  <c r="AF3"/>
  <c r="BL3"/>
  <c r="AU3"/>
  <c r="BK3"/>
  <c r="AM3"/>
  <c r="F5"/>
  <c r="X8"/>
  <c r="U7"/>
  <c r="AB9"/>
  <c r="Z10"/>
  <c r="AL8"/>
  <c r="X10"/>
  <c r="BA4"/>
  <c r="F9"/>
  <c r="Y4"/>
  <c r="AX9"/>
  <c r="V6"/>
  <c r="AH5"/>
  <c r="BD9"/>
  <c r="AW7"/>
  <c r="AZ6"/>
  <c r="BK9"/>
  <c r="BH4"/>
  <c r="R4"/>
  <c r="AP12"/>
  <c r="AJ7"/>
  <c r="BJ8"/>
  <c r="BM6"/>
  <c r="AK5"/>
  <c r="K9"/>
  <c r="V8"/>
  <c r="BB5"/>
  <c r="AZ7"/>
  <c r="M5"/>
  <c r="AT5"/>
  <c r="Y7"/>
  <c r="AF5"/>
  <c r="AW8"/>
  <c r="BM4"/>
  <c r="S7"/>
  <c r="AI7"/>
  <c r="X6"/>
  <c r="AV12"/>
  <c r="AM5"/>
  <c r="V11"/>
  <c r="AQ7"/>
  <c r="AZ4"/>
  <c r="G5"/>
  <c r="K7"/>
  <c r="AX12"/>
  <c r="T9"/>
  <c r="F11"/>
  <c r="AG9"/>
  <c r="P5"/>
  <c r="AD7"/>
  <c r="AD9"/>
  <c r="AN11"/>
  <c r="AW4"/>
  <c r="BC6"/>
  <c r="J9"/>
  <c r="T11"/>
  <c r="BD4"/>
  <c r="AD10"/>
  <c r="BC4"/>
  <c r="H7"/>
  <c r="P9"/>
  <c r="Z11"/>
  <c r="BG5"/>
  <c r="BB12"/>
  <c r="L6"/>
  <c r="R8"/>
  <c r="AB10"/>
  <c r="AJ12"/>
  <c r="AH6"/>
  <c r="BG7"/>
  <c r="AF6"/>
  <c r="BK5"/>
  <c r="L9"/>
  <c r="Y12"/>
  <c r="AS9"/>
  <c r="U5"/>
  <c r="W8"/>
  <c r="BF10"/>
  <c r="AI4"/>
  <c r="T7"/>
  <c r="P10"/>
  <c r="BL12"/>
  <c r="BF12"/>
  <c r="P12"/>
  <c r="BB11"/>
  <c r="AW6"/>
  <c r="AK9"/>
  <c r="AF12"/>
  <c r="AX10"/>
  <c r="AF8"/>
  <c r="T4"/>
  <c r="G8"/>
  <c r="BM10"/>
  <c r="AN4"/>
  <c r="Q9"/>
  <c r="AL12"/>
  <c r="H5"/>
  <c r="K6"/>
  <c r="V7"/>
  <c r="Y8"/>
  <c r="V9"/>
  <c r="AA10"/>
  <c r="AF11"/>
  <c r="AI12"/>
  <c r="AO4"/>
  <c r="AR5"/>
  <c r="AU6"/>
  <c r="AX7"/>
  <c r="BI8"/>
  <c r="G10"/>
  <c r="L11"/>
  <c r="O12"/>
  <c r="AF4"/>
  <c r="BJ6"/>
  <c r="F10"/>
  <c r="V12"/>
  <c r="AU4"/>
  <c r="AX5"/>
  <c r="BI6"/>
  <c r="BL7"/>
  <c r="H9"/>
  <c r="M10"/>
  <c r="R11"/>
  <c r="AC12"/>
  <c r="AQ5"/>
  <c r="AJ8"/>
  <c r="AD12"/>
  <c r="BJ4"/>
  <c r="BM5"/>
  <c r="G7"/>
  <c r="J8"/>
  <c r="O9"/>
  <c r="T10"/>
  <c r="Y11"/>
  <c r="AB12"/>
  <c r="Q3"/>
  <c r="U3"/>
  <c r="AK3"/>
  <c r="BA3"/>
  <c r="J3"/>
  <c r="AB3"/>
  <c r="BF3"/>
  <c r="AA3"/>
  <c r="AT3"/>
  <c r="AN3"/>
  <c r="Y3"/>
  <c r="AY4"/>
  <c r="W11"/>
  <c r="Q10"/>
  <c r="R12"/>
  <c r="H6"/>
  <c r="AX6"/>
  <c r="AW12"/>
  <c r="BD5"/>
  <c r="K10"/>
  <c r="AB5"/>
  <c r="AS8"/>
  <c r="BK12"/>
  <c r="AE4"/>
  <c r="AY8"/>
  <c r="AV4"/>
  <c r="AW5"/>
  <c r="I11"/>
  <c r="AN12"/>
  <c r="BL10"/>
  <c r="BJ11"/>
  <c r="F8"/>
  <c r="S4"/>
  <c r="BI11"/>
  <c r="BK11"/>
  <c r="U11"/>
  <c r="L7"/>
  <c r="AV10"/>
  <c r="H10"/>
  <c r="AU11"/>
  <c r="AC4"/>
  <c r="AT7"/>
  <c r="BG12"/>
  <c r="F12"/>
  <c r="O8"/>
  <c r="AI9"/>
  <c r="AG10"/>
  <c r="AT8"/>
  <c r="BF4"/>
  <c r="AH10"/>
  <c r="AB4"/>
  <c r="AG12"/>
  <c r="BH9"/>
  <c r="AK11"/>
  <c r="AQ4"/>
  <c r="AD8"/>
  <c r="AA5"/>
  <c r="M4"/>
  <c r="S6"/>
  <c r="AG8"/>
  <c r="AI10"/>
  <c r="AQ12"/>
  <c r="AZ5"/>
  <c r="BF7"/>
  <c r="O10"/>
  <c r="W12"/>
  <c r="Q7"/>
  <c r="AT12"/>
  <c r="BF5"/>
  <c r="K8"/>
  <c r="U10"/>
  <c r="AK12"/>
  <c r="BH8"/>
  <c r="I5"/>
  <c r="O7"/>
  <c r="W9"/>
  <c r="AG11"/>
  <c r="AH4"/>
  <c r="BD6"/>
  <c r="AD5"/>
  <c r="AS5"/>
  <c r="AU8"/>
  <c r="AT11"/>
  <c r="AA9"/>
  <c r="BG4"/>
  <c r="AR7"/>
  <c r="AN10"/>
  <c r="L4"/>
  <c r="BF6"/>
  <c r="AY9"/>
  <c r="AO12"/>
  <c r="AL11"/>
  <c r="I10"/>
  <c r="M11"/>
  <c r="Z6"/>
  <c r="S9"/>
  <c r="I12"/>
  <c r="AR9"/>
  <c r="BA7"/>
  <c r="BD12"/>
  <c r="AY7"/>
  <c r="AP10"/>
  <c r="P4"/>
  <c r="AZ8"/>
  <c r="AI11"/>
  <c r="BI4"/>
  <c r="BL5"/>
  <c r="N7"/>
  <c r="Q8"/>
  <c r="N9"/>
  <c r="S10"/>
  <c r="X11"/>
  <c r="AA12"/>
  <c r="AG4"/>
  <c r="AJ5"/>
  <c r="AM6"/>
  <c r="AP7"/>
  <c r="BA8"/>
  <c r="BF9"/>
  <c r="BK10"/>
  <c r="G12"/>
  <c r="H4"/>
  <c r="AT6"/>
  <c r="AO9"/>
  <c r="BG11"/>
  <c r="AM4"/>
  <c r="AP5"/>
  <c r="BA6"/>
  <c r="BD7"/>
  <c r="BG8"/>
  <c r="BL9"/>
  <c r="J11"/>
  <c r="U12"/>
  <c r="S5"/>
  <c r="L8"/>
  <c r="N12"/>
  <c r="BB4"/>
  <c r="BE5"/>
  <c r="BH6"/>
  <c r="BK7"/>
  <c r="G9"/>
  <c r="L10"/>
  <c r="Q11"/>
  <c r="T12"/>
  <c r="AV3"/>
  <c r="AO3"/>
  <c r="AI3"/>
  <c r="AZ3"/>
  <c r="M3"/>
  <c r="S3"/>
  <c r="AQ3"/>
  <c r="T3"/>
  <c r="Z3"/>
  <c r="AP3"/>
  <c r="X3"/>
  <c r="G3"/>
  <c r="I3"/>
  <c r="BD3"/>
  <c r="R3"/>
  <c r="AC3"/>
  <c r="BI3"/>
  <c r="AY3"/>
  <c r="AJ3"/>
  <c r="AS3"/>
  <c r="K3"/>
  <c r="L3"/>
  <c r="P2"/>
  <c r="BE2"/>
  <c r="H2"/>
  <c r="V2"/>
  <c r="AW2"/>
  <c r="BM2"/>
  <c r="N2"/>
  <c r="F2"/>
  <c r="AL2"/>
  <c r="AE2"/>
  <c r="AD2"/>
  <c r="BJ2"/>
  <c r="AG2"/>
  <c r="AH2"/>
  <c r="BG2"/>
  <c r="AX2"/>
  <c r="AR2"/>
  <c r="BH2"/>
  <c r="BB2"/>
  <c r="O2"/>
  <c r="W2"/>
  <c r="BC2"/>
  <c r="AF2"/>
  <c r="BL2"/>
  <c r="AU2"/>
  <c r="BK2"/>
  <c r="AM2"/>
  <c r="Q2"/>
  <c r="U2"/>
  <c r="AK2"/>
  <c r="BA2"/>
  <c r="J2"/>
  <c r="AB2"/>
  <c r="BF2"/>
  <c r="AA2"/>
  <c r="AT2"/>
  <c r="AN2"/>
  <c r="Y2"/>
  <c r="AV2"/>
  <c r="AO2"/>
  <c r="AI2"/>
  <c r="AZ2"/>
  <c r="M2"/>
  <c r="S2"/>
  <c r="AQ2"/>
  <c r="T2"/>
  <c r="Z2"/>
  <c r="AP2"/>
  <c r="X2"/>
  <c r="G2"/>
  <c r="I2"/>
  <c r="BD2"/>
  <c r="R2"/>
  <c r="AC2"/>
  <c r="BI2"/>
  <c r="AY2"/>
  <c r="AJ2"/>
  <c r="AS2"/>
  <c r="K2"/>
  <c r="L2"/>
</calcChain>
</file>

<file path=xl/sharedStrings.xml><?xml version="1.0" encoding="utf-8"?>
<sst xmlns="http://schemas.openxmlformats.org/spreadsheetml/2006/main" count="31" uniqueCount="31">
  <si>
    <t>**重要提示**</t>
  </si>
  <si>
    <t>本文件、本文件所含信息以及任何基于此的衍生信息仅限SHANGHAI UNIVERSITY的JIARUI YANG使用。</t>
  </si>
  <si>
    <t>~~~~~~~~~~~~~~~~~~~~~~~~~~~~~~~~~~~~~~~~~~~~~~~~~~~~~~~~~~~~~~~~~~~~~~~~~~~~~~~~~~~~~~~~~~~~~~~~~~~~~~~~~~~~~~~~~~~~~~~~~~~~~~~~~~~~~~~~~~~~~~~~~~~~~~~</t>
  </si>
  <si>
    <t>**参考**</t>
  </si>
  <si>
    <t xml:space="preserve">     彭博行业(BI)Excel输出生成的电子数据表可作为参考表格，用于不同的模型和其他表格。</t>
  </si>
  <si>
    <t xml:space="preserve">     暂不支持自动建造模型或从BI输出表格中拖放，但将BI输出作为参考表格用于其他电子数</t>
  </si>
  <si>
    <t xml:space="preserve">   据表，功能强大，简便易用，能帮助您实现各种分析目的。</t>
  </si>
  <si>
    <t xml:space="preserve">   --BI Excel输出表格通常包含2个数据标签(有些BI模型，比如BI行情显示部分的模型，只能生</t>
  </si>
  <si>
    <t xml:space="preserve">   成1个数据标签“工作表1”)：</t>
  </si>
  <si>
    <t xml:space="preserve">     1) BI数据：此标签界面简洁，数据与BI控制面板同步。 </t>
  </si>
  <si>
    <t xml:space="preserve">          列示表格可作为参考表格，用于不同的模型和其他衍生电子数据表。</t>
  </si>
  <si>
    <t xml:space="preserve">     2) 参考数据：此标签下存储着所有的原始数据并包含数据加工。通常会有两个独立的表格：</t>
  </si>
  <si>
    <t xml:space="preserve">          上表包括出错处理、公式等等，下表包含输出的任何/所有实时API信息。 </t>
  </si>
  <si>
    <t xml:space="preserve">          实际API(BDP/BDH)公式的构建也是在下表中，因此如果想查看/运用相应API详情，可参</t>
  </si>
  <si>
    <t xml:space="preserve">          看此处。</t>
  </si>
  <si>
    <t xml:space="preserve">          注：有些时候，可能没有下表(如果所选数据无一来自实时API链接)。</t>
  </si>
  <si>
    <t xml:space="preserve">   --不同标签的表格中包含有共同的数据列：</t>
  </si>
  <si>
    <t xml:space="preserve">     1) 简介:此行标签与您在BI上看到的行标签相同。</t>
  </si>
  <si>
    <t xml:space="preserve">     2) 代码：与此行对应的公司/指数代码(代码用于 </t>
  </si>
  <si>
    <t xml:space="preserve">          此行BDP/BDH公式，如适用)</t>
  </si>
  <si>
    <t xml:space="preserve">     3) 栏目代码：此calcrout代码用于构建此行BDP/BDH公式(如适用)。</t>
  </si>
  <si>
    <t xml:space="preserve">     4) 栏目助记符：此calcrout助记符与用于构建此行BDP/BDH公式(如适用)的栏目代码相对应。</t>
  </si>
  <si>
    <t xml:space="preserve">     5) 数据状态：此特定行的数据状态，包括“动态”、“静态”、“合计”、“平均”、“中值”或“标题”。</t>
  </si>
  <si>
    <t xml:space="preserve">           如果是“动态”，那么一旦有新数据进入数据库，即可自动更新至表格，无需再次输出。</t>
  </si>
  <si>
    <t xml:space="preserve">           如果是“静态”，即此行不存在实时链接，新数据只能通过再次运行BI并输出。</t>
  </si>
  <si>
    <t xml:space="preserve">           如果是“合计”、“平均”、“中值”或“公式”，有些公式组件的数据或许能自动更新，但如果要</t>
  </si>
  <si>
    <t xml:space="preserve">           确保表格中的数据都是最新的，必须再次运行BI并输出。</t>
  </si>
  <si>
    <t>~~~~~~~~~~~~~~~~~~~~~~~~~~~~~~~~~~~~~~~~~~~~~~~~~~~~~~~~~~~~~~~~~~~~~~~~~~~~~~~~~~~~~~~~~~~~~~~~~~~~~~~~~~~~~~~~~~~~~~~~~~~~~~~~~~~~~~~~~~~~~~~~~~~~~~~~~~~~~~~~</t>
  </si>
  <si>
    <t>**帮助**</t>
  </si>
  <si>
    <t xml:space="preserve">     如果您在BI Excel输出过程中或对输出结果有任何疑问，请在彭博终端上运行BI&lt;GO&gt;功能，</t>
  </si>
  <si>
    <t xml:space="preserve">   然后按&lt;HELP&gt;键两次。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</si>
</sst>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volatileDependencies.xml><?xml version="1.0" encoding="utf-8"?>
<volTypes xmlns="http://schemas.openxmlformats.org/spreadsheetml/2006/main">
  <volType type="realTimeData">
    <main first="bloomberg.rtd">
      <tp t="s">
        <v>#N/A Requesting Data...</v>
        <stp/>
        <stp>##V3_BDHV12</stp>
        <stp>RECFNAIN Index</stp>
        <stp>PR005</stp>
        <stp>-60CQ</stp>
        <stp>2018/3/14</stp>
        <stp>[BI_REITN_1_kqugnhya.xlsx]ReferenceData!R63C3</stp>
        <stp>PER=CQ</stp>
        <stp>Dts=S</stp>
        <stp>DtFmt=FI</stp>
        <stp>rows=2</stp>
        <stp>Dir=H</stp>
        <stp>Points=60</stp>
        <stp>Sort=R</stp>
        <stp>Days=A</stp>
        <stp>Fill=B</stp>
        <stp>FX=USD</stp>
        <tr r="C63" s="3"/>
      </tp>
      <tp t="s">
        <v>#N/A Requesting Data...</v>
        <stp/>
        <stp>##V3_BDHV12</stp>
        <stp>RECFNAIN Index</stp>
        <stp>PR005</stp>
        <stp>-60CQ</stp>
        <stp>2018/3/13</stp>
        <stp>[BI_REITN_1_kqugnhya.xlsx]ReferenceData!R55C3</stp>
        <stp>PER=CQ</stp>
        <stp>Dts=S</stp>
        <stp>DtFmt=FI</stp>
        <stp>rows=2</stp>
        <stp>Dir=H</stp>
        <stp>Points=60</stp>
        <stp>Sort=R</stp>
        <stp>Days=A</stp>
        <stp>Fill=B</stp>
        <stp>FX=USD</stp>
        <tr r="C55" s="3"/>
      </tp>
      <tp t="s">
        <v>#N/A Requesting Data...</v>
        <stp/>
        <stp>##V3_BDHV12</stp>
        <stp>RECFDSIN Index</stp>
        <stp>PR005</stp>
        <stp>-60CQ</stp>
        <stp>2018/3/14</stp>
        <stp>[BI_REITN_1_kqugnhya.xlsx]ReferenceData!R61C3</stp>
        <stp>PER=CQ</stp>
        <stp>Dts=S</stp>
        <stp>DtFmt=FI</stp>
        <stp>rows=2</stp>
        <stp>Dir=H</stp>
        <stp>Points=60</stp>
        <stp>Sort=R</stp>
        <stp>Days=A</stp>
        <stp>Fill=B</stp>
        <stp>FX=USD</stp>
        <tr r="C61" s="3"/>
      </tp>
      <tp t="s">
        <v>#N/A Requesting Data...</v>
        <stp/>
        <stp>##V3_BDHV12</stp>
        <stp>RECFDSIN Index</stp>
        <stp>PR005</stp>
        <stp>-60CQ</stp>
        <stp>2018/3/13</stp>
        <stp>[BI_REITN_1_kqugnhya.xlsx]ReferenceData!R53C3</stp>
        <stp>PER=CQ</stp>
        <stp>Dts=S</stp>
        <stp>DtFmt=FI</stp>
        <stp>rows=2</stp>
        <stp>Dir=H</stp>
        <stp>Points=60</stp>
        <stp>Sort=R</stp>
        <stp>Days=A</stp>
        <stp>Fill=B</stp>
        <stp>FX=USD</stp>
        <tr r="C53" s="3"/>
      </tp>
    </main>
    <main first="bloomberg.ccyreader">
      <tp>
        <v>0</v>
        <stp/>
        <stp>#track</stp>
        <stp>DBG</stp>
        <stp>BIHITX</stp>
        <stp>1.0</stp>
        <stp>RepeatHit</stp>
        <tr r="A22" s="3"/>
      </tp>
    </main>
    <main first="bloomberg.rtd">
      <tp t="s">
        <v>#N/A Requesting Data...</v>
        <stp/>
        <stp>##V3_BDHV12</stp>
        <stp>RECFTAIN Index</stp>
        <stp>PR005</stp>
        <stp>-60CQ</stp>
        <stp>2018/3/13</stp>
        <stp>[BI_REITN_1_kqugnhya.xlsx]ReferenceData!R51C3</stp>
        <stp>PER=CQ</stp>
        <stp>Dts=S</stp>
        <stp>DtFmt=FI</stp>
        <stp>rows=2</stp>
        <stp>Dir=H</stp>
        <stp>Points=60</stp>
        <stp>Sort=R</stp>
        <stp>Days=A</stp>
        <stp>Fill=B</stp>
        <stp>FX=USD</stp>
        <tr r="C51" s="3"/>
      </tp>
      <tp t="s">
        <v>#N/A Requesting Data...</v>
        <stp/>
        <stp>##V3_BDHV12</stp>
        <stp>RECFTAIN Index</stp>
        <stp>PR005</stp>
        <stp>-60CQ</stp>
        <stp>2018/3/14</stp>
        <stp>[BI_REITN_1_kqugnhya.xlsx]ReferenceData!R59C3</stp>
        <stp>PER=CQ</stp>
        <stp>Dts=S</stp>
        <stp>DtFmt=FI</stp>
        <stp>rows=2</stp>
        <stp>Dir=H</stp>
        <stp>Points=60</stp>
        <stp>Sort=R</stp>
        <stp>Days=A</stp>
        <stp>Fill=B</stp>
        <stp>FX=USD</stp>
        <tr r="C59" s="3"/>
      </tp>
      <tp t="s">
        <v>#N/A Requesting Data...</v>
        <stp/>
        <stp>##V3_BDHV12</stp>
        <stp>RECFNOIN Index</stp>
        <stp>PR005</stp>
        <stp>-60CQ</stp>
        <stp>2018/3/14</stp>
        <stp>[BI_REITN_1_kqugnhya.xlsx]ReferenceData!R36C6</stp>
        <stp>Per=CQ</stp>
        <stp>Dts=H</stp>
        <stp>Dir=H</stp>
        <stp>Points=60</stp>
        <stp>Sort=R</stp>
        <stp>Days=A</stp>
        <stp>Fill=B</stp>
        <stp>FX=USD</stp>
        <tr r="F36" s="3"/>
      </tp>
      <tp t="s">
        <v>#N/A Requesting Data...</v>
        <stp/>
        <stp>##V3_BDHV12</stp>
        <stp>RECFNAIN Index</stp>
        <stp>PR005</stp>
        <stp>-60CQ</stp>
        <stp>2018/3/14</stp>
        <stp>[BI_REITN_1_kqugnhya.xlsx]ReferenceData!R32C6</stp>
        <stp>Per=CQ</stp>
        <stp>Dts=H</stp>
        <stp>Dir=H</stp>
        <stp>Points=60</stp>
        <stp>Sort=R</stp>
        <stp>Days=A</stp>
        <stp>Fill=B</stp>
        <stp>FX=USD</stp>
        <tr r="F32" s="3"/>
      </tp>
      <tp t="s">
        <v>#N/A Requesting Data...</v>
        <stp/>
        <stp>##V3_BDHV12</stp>
        <stp>RECFAVIN Index</stp>
        <stp>PR005</stp>
        <stp>-60CQ</stp>
        <stp>2018/3/14</stp>
        <stp>[BI_REITN_1_kqugnhya.xlsx]ReferenceData!R34C6</stp>
        <stp>Per=CQ</stp>
        <stp>Dts=H</stp>
        <stp>Dir=H</stp>
        <stp>Points=60</stp>
        <stp>Sort=R</stp>
        <stp>Days=A</stp>
        <stp>Fill=B</stp>
        <stp>FX=USD</stp>
        <tr r="F34" s="3"/>
      </tp>
      <tp t="s">
        <v>#N/A Requesting Data...</v>
        <stp/>
        <stp>##V3_BDHV12</stp>
        <stp>RECFFOIN Index</stp>
        <stp>PR005</stp>
        <stp>-60CQ</stp>
        <stp>2018/3/14</stp>
        <stp>[BI_REITN_1_kqugnhya.xlsx]ReferenceData!R35C6</stp>
        <stp>Per=CQ</stp>
        <stp>Dts=H</stp>
        <stp>Dir=H</stp>
        <stp>Points=60</stp>
        <stp>Sort=R</stp>
        <stp>Days=A</stp>
        <stp>Fill=B</stp>
        <stp>FX=USD</stp>
        <tr r="F35" s="3"/>
      </tp>
      <tp t="s">
        <v>#N/A Requesting Data...</v>
        <stp/>
        <stp>##V3_BDHV12</stp>
        <stp>RECFDSIN Index</stp>
        <stp>PR005</stp>
        <stp>-60CQ</stp>
        <stp>2018/3/14</stp>
        <stp>[BI_REITN_1_kqugnhya.xlsx]ReferenceData!R31C6</stp>
        <stp>Per=CQ</stp>
        <stp>Dts=H</stp>
        <stp>Dir=H</stp>
        <stp>Points=60</stp>
        <stp>Sort=R</stp>
        <stp>Days=A</stp>
        <stp>Fill=B</stp>
        <stp>FX=USD</stp>
        <tr r="F31" s="3"/>
      </tp>
      <tp t="s">
        <v>#N/A Requesting Data...</v>
        <stp/>
        <stp>##V3_BDHV12</stp>
        <stp>RECFDVIN Index</stp>
        <stp>PR005</stp>
        <stp>-60CQ</stp>
        <stp>2018/3/14</stp>
        <stp>[BI_REITN_1_kqugnhya.xlsx]ReferenceData!R38C6</stp>
        <stp>Per=CQ</stp>
        <stp>Dts=H</stp>
        <stp>Dir=H</stp>
        <stp>Points=60</stp>
        <stp>Sort=R</stp>
        <stp>Days=A</stp>
        <stp>Fill=B</stp>
        <stp>FX=USD</stp>
        <tr r="F38" s="3"/>
      </tp>
      <tp t="s">
        <v>#N/A Requesting Data...</v>
        <stp/>
        <stp>##V3_BDHV12</stp>
        <stp>RECFSSIN Index</stp>
        <stp>PR005</stp>
        <stp>-60CQ</stp>
        <stp>2018/3/14</stp>
        <stp>[BI_REITN_1_kqugnhya.xlsx]ReferenceData!R33C6</stp>
        <stp>Per=CQ</stp>
        <stp>Dts=H</stp>
        <stp>Dir=H</stp>
        <stp>Points=60</stp>
        <stp>Sort=R</stp>
        <stp>Days=A</stp>
        <stp>Fill=B</stp>
        <stp>FX=USD</stp>
        <tr r="F33" s="3"/>
      </tp>
      <tp t="s">
        <v>#N/A Requesting Data...</v>
        <stp/>
        <stp>##V3_BDHV12</stp>
        <stp>RECFTAIN Index</stp>
        <stp>PR005</stp>
        <stp>-60CQ</stp>
        <stp>2018/3/14</stp>
        <stp>[BI_REITN_1_kqugnhya.xlsx]ReferenceData!R30C6</stp>
        <stp>Per=CQ</stp>
        <stp>Dts=H</stp>
        <stp>Dir=H</stp>
        <stp>Points=60</stp>
        <stp>Sort=R</stp>
        <stp>Days=A</stp>
        <stp>Fill=B</stp>
        <stp>FX=USD</stp>
        <tr r="F30" s="3"/>
      </tp>
      <tp t="s">
        <v>#N/A Requesting Data...</v>
        <stp/>
        <stp>##V3_BDHV12</stp>
        <stp>RECFTDIN Index</stp>
        <stp>PR005</stp>
        <stp>-60CQ</stp>
        <stp>2018/3/14</stp>
        <stp>[BI_REITN_1_kqugnhya.xlsx]ReferenceData!R37C6</stp>
        <stp>Per=CQ</stp>
        <stp>Dts=H</stp>
        <stp>Dir=H</stp>
        <stp>Points=60</stp>
        <stp>Sort=R</stp>
        <stp>Days=A</stp>
        <stp>Fill=B</stp>
        <stp>FX=USD</stp>
        <tr r="F37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3.5"/>
  <cols>
    <col min="1" max="1" width="56.375" customWidth="1"/>
    <col min="2" max="2" width="15.75" customWidth="1"/>
    <col min="3" max="65" width="9.125" bestFit="1" customWidth="1"/>
  </cols>
  <sheetData>
    <row r="1" spans="1:65" ht="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tr">
        <f>IFERROR(IF(0=LEN(ReferenceData!$A$2),"",ReferenceData!$A$2),"")</f>
        <v>简述</v>
      </c>
      <c r="B2" t="str">
        <f>IFERROR(IF(0=LEN(ReferenceData!$B$2),"",ReferenceData!$B$2),"")</f>
        <v>代码</v>
      </c>
      <c r="C2" t="str">
        <f>IFERROR(IF(0=LEN(ReferenceData!$C$2),"",ReferenceData!$C$2),"")</f>
        <v>栏目ID</v>
      </c>
      <c r="D2" t="str">
        <f>IFERROR(IF(0=LEN(ReferenceData!$D$2),"",ReferenceData!$D$2),"")</f>
        <v>栏目助记符</v>
      </c>
      <c r="E2" t="str">
        <f>IFERROR(IF(0=LEN(ReferenceData!$E$2),"",ReferenceData!$E$2),"")</f>
        <v>数据状态</v>
      </c>
      <c r="F2" t="str">
        <f>IFERROR(IF(0=LEN(ReferenceData!$F$2),"",ReferenceData!$F$2),"")</f>
        <v>2017 Q4</v>
      </c>
      <c r="G2" t="str">
        <f>IFERROR(IF(0=LEN(ReferenceData!$G$2),"",ReferenceData!$G$2),"")</f>
        <v>2017 Q3</v>
      </c>
      <c r="H2" t="str">
        <f>IFERROR(IF(0=LEN(ReferenceData!$H$2),"",ReferenceData!$H$2),"")</f>
        <v>2017 Q2</v>
      </c>
      <c r="I2" t="str">
        <f>IFERROR(IF(0=LEN(ReferenceData!$I$2),"",ReferenceData!$I$2),"")</f>
        <v>2017 Q1</v>
      </c>
      <c r="J2" t="str">
        <f>IFERROR(IF(0=LEN(ReferenceData!$J$2),"",ReferenceData!$J$2),"")</f>
        <v>2016 Q4</v>
      </c>
      <c r="K2" t="str">
        <f>IFERROR(IF(0=LEN(ReferenceData!$K$2),"",ReferenceData!$K$2),"")</f>
        <v>2016 Q3</v>
      </c>
      <c r="L2" t="str">
        <f>IFERROR(IF(0=LEN(ReferenceData!$L$2),"",ReferenceData!$L$2),"")</f>
        <v>2016 Q2</v>
      </c>
      <c r="M2" t="str">
        <f>IFERROR(IF(0=LEN(ReferenceData!$M$2),"",ReferenceData!$M$2),"")</f>
        <v>2016 Q1</v>
      </c>
      <c r="N2" t="str">
        <f>IFERROR(IF(0=LEN(ReferenceData!$N$2),"",ReferenceData!$N$2),"")</f>
        <v>2015 Q4</v>
      </c>
      <c r="O2" t="str">
        <f>IFERROR(IF(0=LEN(ReferenceData!$O$2),"",ReferenceData!$O$2),"")</f>
        <v>2015 Q3</v>
      </c>
      <c r="P2" t="str">
        <f>IFERROR(IF(0=LEN(ReferenceData!$P$2),"",ReferenceData!$P$2),"")</f>
        <v>2015 Q2</v>
      </c>
      <c r="Q2" t="str">
        <f>IFERROR(IF(0=LEN(ReferenceData!$Q$2),"",ReferenceData!$Q$2),"")</f>
        <v>2015 Q1</v>
      </c>
      <c r="R2" t="str">
        <f>IFERROR(IF(0=LEN(ReferenceData!$R$2),"",ReferenceData!$R$2),"")</f>
        <v>2014 Q4</v>
      </c>
      <c r="S2" t="str">
        <f>IFERROR(IF(0=LEN(ReferenceData!$S$2),"",ReferenceData!$S$2),"")</f>
        <v>2014 Q3</v>
      </c>
      <c r="T2" t="str">
        <f>IFERROR(IF(0=LEN(ReferenceData!$T$2),"",ReferenceData!$T$2),"")</f>
        <v>2014 Q2</v>
      </c>
      <c r="U2" t="str">
        <f>IFERROR(IF(0=LEN(ReferenceData!$U$2),"",ReferenceData!$U$2),"")</f>
        <v>2014 Q1</v>
      </c>
      <c r="V2" t="str">
        <f>IFERROR(IF(0=LEN(ReferenceData!$V$2),"",ReferenceData!$V$2),"")</f>
        <v>2013 Q4</v>
      </c>
      <c r="W2" t="str">
        <f>IFERROR(IF(0=LEN(ReferenceData!$W$2),"",ReferenceData!$W$2),"")</f>
        <v>2013 Q3</v>
      </c>
      <c r="X2" t="str">
        <f>IFERROR(IF(0=LEN(ReferenceData!$X$2),"",ReferenceData!$X$2),"")</f>
        <v>2013 Q2</v>
      </c>
      <c r="Y2" t="str">
        <f>IFERROR(IF(0=LEN(ReferenceData!$Y$2),"",ReferenceData!$Y$2),"")</f>
        <v>2013 Q1</v>
      </c>
      <c r="Z2" t="str">
        <f>IFERROR(IF(0=LEN(ReferenceData!$Z$2),"",ReferenceData!$Z$2),"")</f>
        <v>2012 Q4</v>
      </c>
      <c r="AA2" t="str">
        <f>IFERROR(IF(0=LEN(ReferenceData!$AA$2),"",ReferenceData!$AA$2),"")</f>
        <v>2012 Q3</v>
      </c>
      <c r="AB2" t="str">
        <f>IFERROR(IF(0=LEN(ReferenceData!$AB$2),"",ReferenceData!$AB$2),"")</f>
        <v>2012 Q2</v>
      </c>
      <c r="AC2" t="str">
        <f>IFERROR(IF(0=LEN(ReferenceData!$AC$2),"",ReferenceData!$AC$2),"")</f>
        <v>2012 Q1</v>
      </c>
      <c r="AD2" t="str">
        <f>IFERROR(IF(0=LEN(ReferenceData!$AD$2),"",ReferenceData!$AD$2),"")</f>
        <v>2011 Q4</v>
      </c>
      <c r="AE2" t="str">
        <f>IFERROR(IF(0=LEN(ReferenceData!$AE$2),"",ReferenceData!$AE$2),"")</f>
        <v>2011 Q3</v>
      </c>
      <c r="AF2" t="str">
        <f>IFERROR(IF(0=LEN(ReferenceData!$AF$2),"",ReferenceData!$AF$2),"")</f>
        <v>2011 Q2</v>
      </c>
      <c r="AG2" t="str">
        <f>IFERROR(IF(0=LEN(ReferenceData!$AG$2),"",ReferenceData!$AG$2),"")</f>
        <v>2011 Q1</v>
      </c>
      <c r="AH2" t="str">
        <f>IFERROR(IF(0=LEN(ReferenceData!$AH$2),"",ReferenceData!$AH$2),"")</f>
        <v>2010 Q4</v>
      </c>
      <c r="AI2" t="str">
        <f>IFERROR(IF(0=LEN(ReferenceData!$AI$2),"",ReferenceData!$AI$2),"")</f>
        <v>2010 Q3</v>
      </c>
      <c r="AJ2" t="str">
        <f>IFERROR(IF(0=LEN(ReferenceData!$AJ$2),"",ReferenceData!$AJ$2),"")</f>
        <v>2010 Q2</v>
      </c>
      <c r="AK2" t="str">
        <f>IFERROR(IF(0=LEN(ReferenceData!$AK$2),"",ReferenceData!$AK$2),"")</f>
        <v>2010 Q1</v>
      </c>
      <c r="AL2" t="str">
        <f>IFERROR(IF(0=LEN(ReferenceData!$AL$2),"",ReferenceData!$AL$2),"")</f>
        <v>2009 Q4</v>
      </c>
      <c r="AM2" t="str">
        <f>IFERROR(IF(0=LEN(ReferenceData!$AM$2),"",ReferenceData!$AM$2),"")</f>
        <v>2009 Q3</v>
      </c>
      <c r="AN2" t="str">
        <f>IFERROR(IF(0=LEN(ReferenceData!$AN$2),"",ReferenceData!$AN$2),"")</f>
        <v>2009 Q2</v>
      </c>
      <c r="AO2" t="str">
        <f>IFERROR(IF(0=LEN(ReferenceData!$AO$2),"",ReferenceData!$AO$2),"")</f>
        <v>2009 Q1</v>
      </c>
      <c r="AP2" t="str">
        <f>IFERROR(IF(0=LEN(ReferenceData!$AP$2),"",ReferenceData!$AP$2),"")</f>
        <v>2008 Q4</v>
      </c>
      <c r="AQ2" t="str">
        <f>IFERROR(IF(0=LEN(ReferenceData!$AQ$2),"",ReferenceData!$AQ$2),"")</f>
        <v>2008 Q3</v>
      </c>
      <c r="AR2" t="str">
        <f>IFERROR(IF(0=LEN(ReferenceData!$AR$2),"",ReferenceData!$AR$2),"")</f>
        <v>2008 Q2</v>
      </c>
      <c r="AS2" t="str">
        <f>IFERROR(IF(0=LEN(ReferenceData!$AS$2),"",ReferenceData!$AS$2),"")</f>
        <v>2008 Q1</v>
      </c>
      <c r="AT2" t="str">
        <f>IFERROR(IF(0=LEN(ReferenceData!$AT$2),"",ReferenceData!$AT$2),"")</f>
        <v>2007 Q4</v>
      </c>
      <c r="AU2" t="str">
        <f>IFERROR(IF(0=LEN(ReferenceData!$AU$2),"",ReferenceData!$AU$2),"")</f>
        <v>2007 Q3</v>
      </c>
      <c r="AV2" t="str">
        <f>IFERROR(IF(0=LEN(ReferenceData!$AV$2),"",ReferenceData!$AV$2),"")</f>
        <v>2007 Q2</v>
      </c>
      <c r="AW2" t="str">
        <f>IFERROR(IF(0=LEN(ReferenceData!$AW$2),"",ReferenceData!$AW$2),"")</f>
        <v>2007 Q1</v>
      </c>
      <c r="AX2" t="str">
        <f>IFERROR(IF(0=LEN(ReferenceData!$AX$2),"",ReferenceData!$AX$2),"")</f>
        <v>2006 Q4</v>
      </c>
      <c r="AY2" t="str">
        <f>IFERROR(IF(0=LEN(ReferenceData!$AY$2),"",ReferenceData!$AY$2),"")</f>
        <v>2006 Q3</v>
      </c>
      <c r="AZ2" t="str">
        <f>IFERROR(IF(0=LEN(ReferenceData!$AZ$2),"",ReferenceData!$AZ$2),"")</f>
        <v>2006 Q2</v>
      </c>
      <c r="BA2" t="str">
        <f>IFERROR(IF(0=LEN(ReferenceData!$BA$2),"",ReferenceData!$BA$2),"")</f>
        <v>2006 Q1</v>
      </c>
      <c r="BB2" t="str">
        <f>IFERROR(IF(0=LEN(ReferenceData!$BB$2),"",ReferenceData!$BB$2),"")</f>
        <v>2005 Q4</v>
      </c>
      <c r="BC2" t="str">
        <f>IFERROR(IF(0=LEN(ReferenceData!$BC$2),"",ReferenceData!$BC$2),"")</f>
        <v>2005 Q3</v>
      </c>
      <c r="BD2" t="str">
        <f>IFERROR(IF(0=LEN(ReferenceData!$BD$2),"",ReferenceData!$BD$2),"")</f>
        <v>2005 Q2</v>
      </c>
      <c r="BE2" t="str">
        <f>IFERROR(IF(0=LEN(ReferenceData!$BE$2),"",ReferenceData!$BE$2),"")</f>
        <v>2005 Q1</v>
      </c>
      <c r="BF2" t="str">
        <f>IFERROR(IF(0=LEN(ReferenceData!$BF$2),"",ReferenceData!$BF$2),"")</f>
        <v>2004 Q4</v>
      </c>
      <c r="BG2" t="str">
        <f>IFERROR(IF(0=LEN(ReferenceData!$BG$2),"",ReferenceData!$BG$2),"")</f>
        <v>2004 Q3</v>
      </c>
      <c r="BH2" t="str">
        <f>IFERROR(IF(0=LEN(ReferenceData!$BH$2),"",ReferenceData!$BH$2),"")</f>
        <v>2004 Q2</v>
      </c>
      <c r="BI2" t="str">
        <f>IFERROR(IF(0=LEN(ReferenceData!$BI$2),"",ReferenceData!$BI$2),"")</f>
        <v>2004 Q1</v>
      </c>
      <c r="BJ2" t="str">
        <f>IFERROR(IF(0=LEN(ReferenceData!$BJ$2),"",ReferenceData!$BJ$2),"")</f>
        <v>2003 Q4</v>
      </c>
      <c r="BK2" t="str">
        <f>IFERROR(IF(0=LEN(ReferenceData!$BK$2),"",ReferenceData!$BK$2),"")</f>
        <v>2003 Q3</v>
      </c>
      <c r="BL2" t="str">
        <f>IFERROR(IF(0=LEN(ReferenceData!$BL$2),"",ReferenceData!$BL$2),"")</f>
        <v>2003 Q2</v>
      </c>
      <c r="BM2" t="str">
        <f>IFERROR(IF(0=LEN(ReferenceData!$BM$2),"",ReferenceData!$BM$2),"")</f>
        <v>2003 Q1</v>
      </c>
    </row>
    <row r="3" spans="1:65">
      <c r="A3" t="str">
        <f>IFERROR(IF(0=LEN(ReferenceData!$A$3),"",ReferenceData!$A$3),"")</f>
        <v>工业/仓储房地产投资信托数据</v>
      </c>
      <c r="B3" t="str">
        <f>IFERROR(IF(0=LEN(ReferenceData!$B$3),"",ReferenceData!$B$3),"")</f>
        <v/>
      </c>
      <c r="C3" t="str">
        <f>IFERROR(IF(0=LEN(ReferenceData!$C$3),"",ReferenceData!$C$3),"")</f>
        <v/>
      </c>
      <c r="D3" t="str">
        <f>IFERROR(IF(0=LEN(ReferenceData!$D$3),"",ReferenceData!$D$3),"")</f>
        <v/>
      </c>
      <c r="E3" t="str">
        <f>IFERROR(IF(0=LEN(ReferenceData!$E$3),"",ReferenceData!$E$3),"")</f>
        <v>静态</v>
      </c>
      <c r="F3" t="str">
        <f ca="1">IFERROR(IF(0=LEN(ReferenceData!$F$3),"",ReferenceData!$F$3),"")</f>
        <v/>
      </c>
      <c r="G3" t="str">
        <f ca="1">IFERROR(IF(0=LEN(ReferenceData!$G$3),"",ReferenceData!$G$3),"")</f>
        <v/>
      </c>
      <c r="H3" t="str">
        <f ca="1">IFERROR(IF(0=LEN(ReferenceData!$H$3),"",ReferenceData!$H$3),"")</f>
        <v/>
      </c>
      <c r="I3" t="str">
        <f ca="1">IFERROR(IF(0=LEN(ReferenceData!$I$3),"",ReferenceData!$I$3),"")</f>
        <v/>
      </c>
      <c r="J3" t="str">
        <f ca="1">IFERROR(IF(0=LEN(ReferenceData!$J$3),"",ReferenceData!$J$3),"")</f>
        <v/>
      </c>
      <c r="K3" t="str">
        <f ca="1">IFERROR(IF(0=LEN(ReferenceData!$K$3),"",ReferenceData!$K$3),"")</f>
        <v/>
      </c>
      <c r="L3" t="str">
        <f ca="1">IFERROR(IF(0=LEN(ReferenceData!$L$3),"",ReferenceData!$L$3),"")</f>
        <v/>
      </c>
      <c r="M3" t="str">
        <f ca="1">IFERROR(IF(0=LEN(ReferenceData!$M$3),"",ReferenceData!$M$3),"")</f>
        <v/>
      </c>
      <c r="N3" t="str">
        <f ca="1">IFERROR(IF(0=LEN(ReferenceData!$N$3),"",ReferenceData!$N$3),"")</f>
        <v/>
      </c>
      <c r="O3" t="str">
        <f ca="1">IFERROR(IF(0=LEN(ReferenceData!$O$3),"",ReferenceData!$O$3),"")</f>
        <v/>
      </c>
      <c r="P3" t="str">
        <f ca="1">IFERROR(IF(0=LEN(ReferenceData!$P$3),"",ReferenceData!$P$3),"")</f>
        <v/>
      </c>
      <c r="Q3" t="str">
        <f ca="1">IFERROR(IF(0=LEN(ReferenceData!$Q$3),"",ReferenceData!$Q$3),"")</f>
        <v/>
      </c>
      <c r="R3" t="str">
        <f ca="1">IFERROR(IF(0=LEN(ReferenceData!$R$3),"",ReferenceData!$R$3),"")</f>
        <v/>
      </c>
      <c r="S3" t="str">
        <f ca="1">IFERROR(IF(0=LEN(ReferenceData!$S$3),"",ReferenceData!$S$3),"")</f>
        <v/>
      </c>
      <c r="T3" t="str">
        <f ca="1">IFERROR(IF(0=LEN(ReferenceData!$T$3),"",ReferenceData!$T$3),"")</f>
        <v/>
      </c>
      <c r="U3" t="str">
        <f ca="1">IFERROR(IF(0=LEN(ReferenceData!$U$3),"",ReferenceData!$U$3),"")</f>
        <v/>
      </c>
      <c r="V3" t="str">
        <f ca="1">IFERROR(IF(0=LEN(ReferenceData!$V$3),"",ReferenceData!$V$3),"")</f>
        <v/>
      </c>
      <c r="W3" t="str">
        <f ca="1">IFERROR(IF(0=LEN(ReferenceData!$W$3),"",ReferenceData!$W$3),"")</f>
        <v/>
      </c>
      <c r="X3" t="str">
        <f ca="1">IFERROR(IF(0=LEN(ReferenceData!$X$3),"",ReferenceData!$X$3),"")</f>
        <v/>
      </c>
      <c r="Y3" t="str">
        <f ca="1">IFERROR(IF(0=LEN(ReferenceData!$Y$3),"",ReferenceData!$Y$3),"")</f>
        <v/>
      </c>
      <c r="Z3" t="str">
        <f ca="1">IFERROR(IF(0=LEN(ReferenceData!$Z$3),"",ReferenceData!$Z$3),"")</f>
        <v/>
      </c>
      <c r="AA3" t="str">
        <f ca="1">IFERROR(IF(0=LEN(ReferenceData!$AA$3),"",ReferenceData!$AA$3),"")</f>
        <v/>
      </c>
      <c r="AB3" t="str">
        <f ca="1">IFERROR(IF(0=LEN(ReferenceData!$AB$3),"",ReferenceData!$AB$3),"")</f>
        <v/>
      </c>
      <c r="AC3" t="str">
        <f ca="1">IFERROR(IF(0=LEN(ReferenceData!$AC$3),"",ReferenceData!$AC$3),"")</f>
        <v/>
      </c>
      <c r="AD3" t="str">
        <f ca="1">IFERROR(IF(0=LEN(ReferenceData!$AD$3),"",ReferenceData!$AD$3),"")</f>
        <v/>
      </c>
      <c r="AE3" t="str">
        <f ca="1">IFERROR(IF(0=LEN(ReferenceData!$AE$3),"",ReferenceData!$AE$3),"")</f>
        <v/>
      </c>
      <c r="AF3" t="str">
        <f ca="1">IFERROR(IF(0=LEN(ReferenceData!$AF$3),"",ReferenceData!$AF$3),"")</f>
        <v/>
      </c>
      <c r="AG3" t="str">
        <f ca="1">IFERROR(IF(0=LEN(ReferenceData!$AG$3),"",ReferenceData!$AG$3),"")</f>
        <v/>
      </c>
      <c r="AH3" t="str">
        <f ca="1">IFERROR(IF(0=LEN(ReferenceData!$AH$3),"",ReferenceData!$AH$3),"")</f>
        <v/>
      </c>
      <c r="AI3" t="str">
        <f ca="1">IFERROR(IF(0=LEN(ReferenceData!$AI$3),"",ReferenceData!$AI$3),"")</f>
        <v/>
      </c>
      <c r="AJ3" t="str">
        <f ca="1">IFERROR(IF(0=LEN(ReferenceData!$AJ$3),"",ReferenceData!$AJ$3),"")</f>
        <v/>
      </c>
      <c r="AK3" t="str">
        <f ca="1">IFERROR(IF(0=LEN(ReferenceData!$AK$3),"",ReferenceData!$AK$3),"")</f>
        <v/>
      </c>
      <c r="AL3" t="str">
        <f ca="1">IFERROR(IF(0=LEN(ReferenceData!$AL$3),"",ReferenceData!$AL$3),"")</f>
        <v/>
      </c>
      <c r="AM3" t="str">
        <f ca="1">IFERROR(IF(0=LEN(ReferenceData!$AM$3),"",ReferenceData!$AM$3),"")</f>
        <v/>
      </c>
      <c r="AN3" t="str">
        <f ca="1">IFERROR(IF(0=LEN(ReferenceData!$AN$3),"",ReferenceData!$AN$3),"")</f>
        <v/>
      </c>
      <c r="AO3" t="str">
        <f ca="1">IFERROR(IF(0=LEN(ReferenceData!$AO$3),"",ReferenceData!$AO$3),"")</f>
        <v/>
      </c>
      <c r="AP3" t="str">
        <f ca="1">IFERROR(IF(0=LEN(ReferenceData!$AP$3),"",ReferenceData!$AP$3),"")</f>
        <v/>
      </c>
      <c r="AQ3" t="str">
        <f ca="1">IFERROR(IF(0=LEN(ReferenceData!$AQ$3),"",ReferenceData!$AQ$3),"")</f>
        <v/>
      </c>
      <c r="AR3" t="str">
        <f ca="1">IFERROR(IF(0=LEN(ReferenceData!$AR$3),"",ReferenceData!$AR$3),"")</f>
        <v/>
      </c>
      <c r="AS3" t="str">
        <f ca="1">IFERROR(IF(0=LEN(ReferenceData!$AS$3),"",ReferenceData!$AS$3),"")</f>
        <v/>
      </c>
      <c r="AT3" t="str">
        <f ca="1">IFERROR(IF(0=LEN(ReferenceData!$AT$3),"",ReferenceData!$AT$3),"")</f>
        <v/>
      </c>
      <c r="AU3" t="str">
        <f ca="1">IFERROR(IF(0=LEN(ReferenceData!$AU$3),"",ReferenceData!$AU$3),"")</f>
        <v/>
      </c>
      <c r="AV3" t="str">
        <f ca="1">IFERROR(IF(0=LEN(ReferenceData!$AV$3),"",ReferenceData!$AV$3),"")</f>
        <v/>
      </c>
      <c r="AW3" t="str">
        <f ca="1">IFERROR(IF(0=LEN(ReferenceData!$AW$3),"",ReferenceData!$AW$3),"")</f>
        <v/>
      </c>
      <c r="AX3" t="str">
        <f ca="1">IFERROR(IF(0=LEN(ReferenceData!$AX$3),"",ReferenceData!$AX$3),"")</f>
        <v/>
      </c>
      <c r="AY3" t="str">
        <f ca="1">IFERROR(IF(0=LEN(ReferenceData!$AY$3),"",ReferenceData!$AY$3),"")</f>
        <v/>
      </c>
      <c r="AZ3" t="str">
        <f ca="1">IFERROR(IF(0=LEN(ReferenceData!$AZ$3),"",ReferenceData!$AZ$3),"")</f>
        <v/>
      </c>
      <c r="BA3" t="str">
        <f ca="1">IFERROR(IF(0=LEN(ReferenceData!$BA$3),"",ReferenceData!$BA$3),"")</f>
        <v/>
      </c>
      <c r="BB3" t="str">
        <f ca="1">IFERROR(IF(0=LEN(ReferenceData!$BB$3),"",ReferenceData!$BB$3),"")</f>
        <v/>
      </c>
      <c r="BC3" t="str">
        <f ca="1">IFERROR(IF(0=LEN(ReferenceData!$BC$3),"",ReferenceData!$BC$3),"")</f>
        <v/>
      </c>
      <c r="BD3" t="str">
        <f ca="1">IFERROR(IF(0=LEN(ReferenceData!$BD$3),"",ReferenceData!$BD$3),"")</f>
        <v/>
      </c>
      <c r="BE3" t="str">
        <f ca="1">IFERROR(IF(0=LEN(ReferenceData!$BE$3),"",ReferenceData!$BE$3),"")</f>
        <v/>
      </c>
      <c r="BF3" t="str">
        <f ca="1">IFERROR(IF(0=LEN(ReferenceData!$BF$3),"",ReferenceData!$BF$3),"")</f>
        <v/>
      </c>
      <c r="BG3" t="str">
        <f ca="1">IFERROR(IF(0=LEN(ReferenceData!$BG$3),"",ReferenceData!$BG$3),"")</f>
        <v/>
      </c>
      <c r="BH3" t="str">
        <f ca="1">IFERROR(IF(0=LEN(ReferenceData!$BH$3),"",ReferenceData!$BH$3),"")</f>
        <v/>
      </c>
      <c r="BI3" t="str">
        <f ca="1">IFERROR(IF(0=LEN(ReferenceData!$BI$3),"",ReferenceData!$BI$3),"")</f>
        <v/>
      </c>
      <c r="BJ3" t="str">
        <f ca="1">IFERROR(IF(0=LEN(ReferenceData!$BJ$3),"",ReferenceData!$BJ$3),"")</f>
        <v/>
      </c>
      <c r="BK3" t="str">
        <f ca="1">IFERROR(IF(0=LEN(ReferenceData!$BK$3),"",ReferenceData!$BK$3),"")</f>
        <v/>
      </c>
      <c r="BL3" t="str">
        <f ca="1">IFERROR(IF(0=LEN(ReferenceData!$BL$3),"",ReferenceData!$BL$3),"")</f>
        <v/>
      </c>
      <c r="BM3" t="str">
        <f ca="1">IFERROR(IF(0=LEN(ReferenceData!$BM$3),"",ReferenceData!$BM$3),"")</f>
        <v/>
      </c>
    </row>
    <row r="4" spans="1:65">
      <c r="A4" t="str">
        <f>IFERROR(IF(0=LEN(ReferenceData!$A$4),"",ReferenceData!$A$4),"")</f>
        <v xml:space="preserve">    工业房地产投资信托同店净营业利润增长</v>
      </c>
      <c r="B4" t="str">
        <f>IFERROR(IF(0=LEN(ReferenceData!$B$4),"",ReferenceData!$B$4),"")</f>
        <v>RECFSSIN Index</v>
      </c>
      <c r="C4" t="str">
        <f>IFERROR(IF(0=LEN(ReferenceData!$C$4),"",ReferenceData!$C$4),"")</f>
        <v>PR005</v>
      </c>
      <c r="D4" t="str">
        <f>IFERROR(IF(0=LEN(ReferenceData!$D$4),"",ReferenceData!$D$4),"")</f>
        <v>PX_LAST</v>
      </c>
      <c r="E4" t="str">
        <f>IFERROR(IF(0=LEN(ReferenceData!$E$4),"",ReferenceData!$E$4),"")</f>
        <v>动态</v>
      </c>
      <c r="F4">
        <f ca="1">IFERROR(IF(0=LEN(ReferenceData!$F$4),"",ReferenceData!$F$4),"")</f>
        <v>4.2232023449999998</v>
      </c>
      <c r="G4">
        <f ca="1">IFERROR(IF(0=LEN(ReferenceData!$G$4),"",ReferenceData!$G$4),"")</f>
        <v>4.5914524400000003</v>
      </c>
      <c r="H4">
        <f ca="1">IFERROR(IF(0=LEN(ReferenceData!$H$4),"",ReferenceData!$H$4),"")</f>
        <v>5.2246744510000003</v>
      </c>
      <c r="I4">
        <f ca="1">IFERROR(IF(0=LEN(ReferenceData!$I$4),"",ReferenceData!$I$4),"")</f>
        <v>5.9196263160000004</v>
      </c>
      <c r="J4">
        <f ca="1">IFERROR(IF(0=LEN(ReferenceData!$J$4),"",ReferenceData!$J$4),"")</f>
        <v>4.1192869859999997</v>
      </c>
      <c r="K4">
        <f ca="1">IFERROR(IF(0=LEN(ReferenceData!$K$4),"",ReferenceData!$K$4),"")</f>
        <v>4.8630891629999997</v>
      </c>
      <c r="L4">
        <f ca="1">IFERROR(IF(0=LEN(ReferenceData!$L$4),"",ReferenceData!$L$4),"")</f>
        <v>4.0092662529999998</v>
      </c>
      <c r="M4">
        <f ca="1">IFERROR(IF(0=LEN(ReferenceData!$M$4),"",ReferenceData!$M$4),"")</f>
        <v>5.0211329449999997</v>
      </c>
      <c r="N4">
        <f ca="1">IFERROR(IF(0=LEN(ReferenceData!$N$4),"",ReferenceData!$N$4),"")</f>
        <v>3.5387011080000002</v>
      </c>
      <c r="O4">
        <f ca="1">IFERROR(IF(0=LEN(ReferenceData!$O$4),"",ReferenceData!$O$4),"")</f>
        <v>3.529305608</v>
      </c>
      <c r="P4">
        <f ca="1">IFERROR(IF(0=LEN(ReferenceData!$P$4),"",ReferenceData!$P$4),"")</f>
        <v>4.581026949</v>
      </c>
      <c r="Q4">
        <f ca="1">IFERROR(IF(0=LEN(ReferenceData!$Q$4),"",ReferenceData!$Q$4),"")</f>
        <v>4.199312194</v>
      </c>
      <c r="R4">
        <f ca="1">IFERROR(IF(0=LEN(ReferenceData!$R$4),"",ReferenceData!$R$4),"")</f>
        <v>4.0052269269999998</v>
      </c>
      <c r="S4">
        <f ca="1">IFERROR(IF(0=LEN(ReferenceData!$S$4),"",ReferenceData!$S$4),"")</f>
        <v>3.7679753599999999</v>
      </c>
      <c r="T4">
        <f ca="1">IFERROR(IF(0=LEN(ReferenceData!$T$4),"",ReferenceData!$T$4),"")</f>
        <v>3.7806882910000001</v>
      </c>
      <c r="U4">
        <f ca="1">IFERROR(IF(0=LEN(ReferenceData!$U$4),"",ReferenceData!$U$4),"")</f>
        <v>2.5392217430000001</v>
      </c>
      <c r="V4">
        <f ca="1">IFERROR(IF(0=LEN(ReferenceData!$V$4),"",ReferenceData!$V$4),"")</f>
        <v>2.3733777439999999</v>
      </c>
      <c r="W4">
        <f ca="1">IFERROR(IF(0=LEN(ReferenceData!$W$4),"",ReferenceData!$W$4),"")</f>
        <v>2.0714796170000001</v>
      </c>
      <c r="X4">
        <f ca="1">IFERROR(IF(0=LEN(ReferenceData!$X$4),"",ReferenceData!$X$4),"")</f>
        <v>1.4403236210000001</v>
      </c>
      <c r="Y4">
        <f ca="1">IFERROR(IF(0=LEN(ReferenceData!$Y$4),"",ReferenceData!$Y$4),"")</f>
        <v>1.1843059300000001</v>
      </c>
      <c r="Z4">
        <f ca="1">IFERROR(IF(0=LEN(ReferenceData!$Z$4),"",ReferenceData!$Z$4),"")</f>
        <v>0.94784504999999997</v>
      </c>
      <c r="AA4">
        <f ca="1">IFERROR(IF(0=LEN(ReferenceData!$AA$4),"",ReferenceData!$AA$4),"")</f>
        <v>1.9782950969999999</v>
      </c>
      <c r="AB4">
        <f ca="1">IFERROR(IF(0=LEN(ReferenceData!$AB$4),"",ReferenceData!$AB$4),"")</f>
        <v>1.198740519</v>
      </c>
      <c r="AC4">
        <f ca="1">IFERROR(IF(0=LEN(ReferenceData!$AC$4),"",ReferenceData!$AC$4),"")</f>
        <v>2.4098687970000001</v>
      </c>
      <c r="AD4">
        <f ca="1">IFERROR(IF(0=LEN(ReferenceData!$AD$4),"",ReferenceData!$AD$4),"")</f>
        <v>1.3152475939999999</v>
      </c>
      <c r="AE4">
        <f ca="1">IFERROR(IF(0=LEN(ReferenceData!$AE$4),"",ReferenceData!$AE$4),"")</f>
        <v>0.112182613</v>
      </c>
      <c r="AF4">
        <f ca="1">IFERROR(IF(0=LEN(ReferenceData!$AF$4),"",ReferenceData!$AF$4),"")</f>
        <v>1.7166853909999999</v>
      </c>
      <c r="AG4">
        <f ca="1">IFERROR(IF(0=LEN(ReferenceData!$AG$4),"",ReferenceData!$AG$4),"")</f>
        <v>0.58642748</v>
      </c>
      <c r="AH4">
        <f ca="1">IFERROR(IF(0=LEN(ReferenceData!$AH$4),"",ReferenceData!$AH$4),"")</f>
        <v>-0.1166934</v>
      </c>
      <c r="AI4">
        <f ca="1">IFERROR(IF(0=LEN(ReferenceData!$AI$4),"",ReferenceData!$AI$4),"")</f>
        <v>-0.81710332699999999</v>
      </c>
      <c r="AJ4">
        <f ca="1">IFERROR(IF(0=LEN(ReferenceData!$AJ$4),"",ReferenceData!$AJ$4),"")</f>
        <v>-3.0890687200000002</v>
      </c>
      <c r="AK4">
        <f ca="1">IFERROR(IF(0=LEN(ReferenceData!$AK$4),"",ReferenceData!$AK$4),"")</f>
        <v>-4.1914401950000002</v>
      </c>
      <c r="AL4">
        <f ca="1">IFERROR(IF(0=LEN(ReferenceData!$AL$4),"",ReferenceData!$AL$4),"")</f>
        <v>-4.3847540479999996</v>
      </c>
      <c r="AM4">
        <f ca="1">IFERROR(IF(0=LEN(ReferenceData!$AM$4),"",ReferenceData!$AM$4),"")</f>
        <v>-3.1949803729999999</v>
      </c>
      <c r="AN4">
        <f ca="1">IFERROR(IF(0=LEN(ReferenceData!$AN$4),"",ReferenceData!$AN$4),"")</f>
        <v>-0.15071026100000001</v>
      </c>
      <c r="AO4">
        <f ca="1">IFERROR(IF(0=LEN(ReferenceData!$AO$4),"",ReferenceData!$AO$4),"")</f>
        <v>-9.8631295999999993E-2</v>
      </c>
      <c r="AP4">
        <f ca="1">IFERROR(IF(0=LEN(ReferenceData!$AP$4),"",ReferenceData!$AP$4),"")</f>
        <v>1.336035259</v>
      </c>
      <c r="AQ4">
        <f ca="1">IFERROR(IF(0=LEN(ReferenceData!$AQ$4),"",ReferenceData!$AQ$4),"")</f>
        <v>1.6495429669999999</v>
      </c>
      <c r="AR4">
        <f ca="1">IFERROR(IF(0=LEN(ReferenceData!$AR$4),"",ReferenceData!$AR$4),"")</f>
        <v>1.254120951</v>
      </c>
      <c r="AS4">
        <f ca="1">IFERROR(IF(0=LEN(ReferenceData!$AS$4),"",ReferenceData!$AS$4),"")</f>
        <v>2.4589530559999999</v>
      </c>
      <c r="AT4">
        <f ca="1">IFERROR(IF(0=LEN(ReferenceData!$AT$4),"",ReferenceData!$AT$4),"")</f>
        <v>2.2913001450000001</v>
      </c>
      <c r="AU4">
        <f ca="1">IFERROR(IF(0=LEN(ReferenceData!$AU$4),"",ReferenceData!$AU$4),"")</f>
        <v>3.7437109159999999</v>
      </c>
      <c r="AV4">
        <f ca="1">IFERROR(IF(0=LEN(ReferenceData!$AV$4),"",ReferenceData!$AV$4),"")</f>
        <v>3.98259045</v>
      </c>
      <c r="AW4">
        <f ca="1">IFERROR(IF(0=LEN(ReferenceData!$AW$4),"",ReferenceData!$AW$4),"")</f>
        <v>4.3746742550000004</v>
      </c>
      <c r="AX4">
        <f ca="1">IFERROR(IF(0=LEN(ReferenceData!$AX$4),"",ReferenceData!$AX$4),"")</f>
        <v>4.6154109400000003</v>
      </c>
      <c r="AY4">
        <f ca="1">IFERROR(IF(0=LEN(ReferenceData!$AY$4),"",ReferenceData!$AY$4),"")</f>
        <v>4.8839512359999997</v>
      </c>
      <c r="AZ4">
        <f ca="1">IFERROR(IF(0=LEN(ReferenceData!$AZ$4),"",ReferenceData!$AZ$4),"")</f>
        <v>1.5879165200000001</v>
      </c>
      <c r="BA4">
        <f ca="1">IFERROR(IF(0=LEN(ReferenceData!$BA$4),"",ReferenceData!$BA$4),"")</f>
        <v>0.14132600300000001</v>
      </c>
      <c r="BB4">
        <f ca="1">IFERROR(IF(0=LEN(ReferenceData!$BB$4),"",ReferenceData!$BB$4),"")</f>
        <v>-1.674189232</v>
      </c>
      <c r="BC4">
        <f ca="1">IFERROR(IF(0=LEN(ReferenceData!$BC$4),"",ReferenceData!$BC$4),"")</f>
        <v>53.110821250000001</v>
      </c>
      <c r="BD4">
        <f ca="1">IFERROR(IF(0=LEN(ReferenceData!$BD$4),"",ReferenceData!$BD$4),"")</f>
        <v>51.194759359999999</v>
      </c>
      <c r="BE4">
        <f ca="1">IFERROR(IF(0=LEN(ReferenceData!$BE$4),"",ReferenceData!$BE$4),"")</f>
        <v>50.150699250000002</v>
      </c>
      <c r="BF4">
        <f ca="1">IFERROR(IF(0=LEN(ReferenceData!$BF$4),"",ReferenceData!$BF$4),"")</f>
        <v>53.586337329999999</v>
      </c>
      <c r="BG4">
        <f ca="1">IFERROR(IF(0=LEN(ReferenceData!$BG$4),"",ReferenceData!$BG$4),"")</f>
        <v>53.956815720000002</v>
      </c>
      <c r="BH4">
        <f ca="1">IFERROR(IF(0=LEN(ReferenceData!$BH$4),"",ReferenceData!$BH$4),"")</f>
        <v>48.828673520000002</v>
      </c>
      <c r="BI4">
        <f ca="1">IFERROR(IF(0=LEN(ReferenceData!$BI$4),"",ReferenceData!$BI$4),"")</f>
        <v>47.931184129999998</v>
      </c>
      <c r="BJ4">
        <f ca="1">IFERROR(IF(0=LEN(ReferenceData!$BJ$4),"",ReferenceData!$BJ$4),"")</f>
        <v>81.150911140000005</v>
      </c>
      <c r="BK4">
        <f ca="1">IFERROR(IF(0=LEN(ReferenceData!$BK$4),"",ReferenceData!$BK$4),"")</f>
        <v>74.608031019999999</v>
      </c>
      <c r="BL4">
        <f ca="1">IFERROR(IF(0=LEN(ReferenceData!$BL$4),"",ReferenceData!$BL$4),"")</f>
        <v>76.05672045</v>
      </c>
      <c r="BM4">
        <f ca="1">IFERROR(IF(0=LEN(ReferenceData!$BM$4),"",ReferenceData!$BM$4),"")</f>
        <v>72.650276500000004</v>
      </c>
    </row>
    <row r="5" spans="1:65">
      <c r="A5" t="str">
        <f>IFERROR(IF(0=LEN(ReferenceData!$A$5),"",ReferenceData!$A$5),"")</f>
        <v xml:space="preserve">    工业房地产投资信托平均占用率</v>
      </c>
      <c r="B5" t="str">
        <f>IFERROR(IF(0=LEN(ReferenceData!$B$5),"",ReferenceData!$B$5),"")</f>
        <v>RECFAVIN Index</v>
      </c>
      <c r="C5" t="str">
        <f>IFERROR(IF(0=LEN(ReferenceData!$C$5),"",ReferenceData!$C$5),"")</f>
        <v>PR005</v>
      </c>
      <c r="D5" t="str">
        <f>IFERROR(IF(0=LEN(ReferenceData!$D$5),"",ReferenceData!$D$5),"")</f>
        <v>PX_LAST</v>
      </c>
      <c r="E5" t="str">
        <f>IFERROR(IF(0=LEN(ReferenceData!$E$5),"",ReferenceData!$E$5),"")</f>
        <v>动态</v>
      </c>
      <c r="F5">
        <f ca="1">IFERROR(IF(0=LEN(ReferenceData!$F$5),"",ReferenceData!$F$5),"")</f>
        <v>96.805147779999999</v>
      </c>
      <c r="G5">
        <f ca="1">IFERROR(IF(0=LEN(ReferenceData!$G$5),"",ReferenceData!$G$5),"")</f>
        <v>96.226056270000001</v>
      </c>
      <c r="H5">
        <f ca="1">IFERROR(IF(0=LEN(ReferenceData!$H$5),"",ReferenceData!$H$5),"")</f>
        <v>96.076528510000003</v>
      </c>
      <c r="I5">
        <f ca="1">IFERROR(IF(0=LEN(ReferenceData!$I$5),"",ReferenceData!$I$5),"")</f>
        <v>96.317442779999993</v>
      </c>
      <c r="J5">
        <f ca="1">IFERROR(IF(0=LEN(ReferenceData!$J$5),"",ReferenceData!$J$5),"")</f>
        <v>96.646901790000001</v>
      </c>
      <c r="K5">
        <f ca="1">IFERROR(IF(0=LEN(ReferenceData!$K$5),"",ReferenceData!$K$5),"")</f>
        <v>96.238260060000002</v>
      </c>
      <c r="L5">
        <f ca="1">IFERROR(IF(0=LEN(ReferenceData!$L$5),"",ReferenceData!$L$5),"")</f>
        <v>95.709791370000005</v>
      </c>
      <c r="M5">
        <f ca="1">IFERROR(IF(0=LEN(ReferenceData!$M$5),"",ReferenceData!$M$5),"")</f>
        <v>95.296728430000002</v>
      </c>
      <c r="N5">
        <f ca="1">IFERROR(IF(0=LEN(ReferenceData!$N$5),"",ReferenceData!$N$5),"")</f>
        <v>95.566132679999996</v>
      </c>
      <c r="O5">
        <f ca="1">IFERROR(IF(0=LEN(ReferenceData!$O$5),"",ReferenceData!$O$5),"")</f>
        <v>95.066270729999999</v>
      </c>
      <c r="P5">
        <f ca="1">IFERROR(IF(0=LEN(ReferenceData!$P$5),"",ReferenceData!$P$5),"")</f>
        <v>94.657607060000004</v>
      </c>
      <c r="Q5">
        <f ca="1">IFERROR(IF(0=LEN(ReferenceData!$Q$5),"",ReferenceData!$Q$5),"")</f>
        <v>94.719723799999997</v>
      </c>
      <c r="R5">
        <f ca="1">IFERROR(IF(0=LEN(ReferenceData!$R$5),"",ReferenceData!$R$5),"")</f>
        <v>94.911063490000004</v>
      </c>
      <c r="S5">
        <f ca="1">IFERROR(IF(0=LEN(ReferenceData!$S$5),"",ReferenceData!$S$5),"")</f>
        <v>94.319611710000004</v>
      </c>
      <c r="T5">
        <f ca="1">IFERROR(IF(0=LEN(ReferenceData!$T$5),"",ReferenceData!$T$5),"")</f>
        <v>93.787603169999997</v>
      </c>
      <c r="U5">
        <f ca="1">IFERROR(IF(0=LEN(ReferenceData!$U$5),"",ReferenceData!$U$5),"")</f>
        <v>93.368892930000001</v>
      </c>
      <c r="V5">
        <f ca="1">IFERROR(IF(0=LEN(ReferenceData!$V$5),"",ReferenceData!$V$5),"")</f>
        <v>93.475083729999994</v>
      </c>
      <c r="W5">
        <f ca="1">IFERROR(IF(0=LEN(ReferenceData!$W$5),"",ReferenceData!$W$5),"")</f>
        <v>93.097410370000006</v>
      </c>
      <c r="X5">
        <f ca="1">IFERROR(IF(0=LEN(ReferenceData!$X$5),"",ReferenceData!$X$5),"")</f>
        <v>92.998557230000003</v>
      </c>
      <c r="Y5">
        <f ca="1">IFERROR(IF(0=LEN(ReferenceData!$Y$5),"",ReferenceData!$Y$5),"")</f>
        <v>92.621592489999998</v>
      </c>
      <c r="Z5">
        <f ca="1">IFERROR(IF(0=LEN(ReferenceData!$Z$5),"",ReferenceData!$Z$5),"")</f>
        <v>92.873771000000005</v>
      </c>
      <c r="AA5">
        <f ca="1">IFERROR(IF(0=LEN(ReferenceData!$AA$5),"",ReferenceData!$AA$5),"")</f>
        <v>92.360431579999997</v>
      </c>
      <c r="AB5">
        <f ca="1">IFERROR(IF(0=LEN(ReferenceData!$AB$5),"",ReferenceData!$AB$5),"")</f>
        <v>91.6671549</v>
      </c>
      <c r="AC5">
        <f ca="1">IFERROR(IF(0=LEN(ReferenceData!$AC$5),"",ReferenceData!$AC$5),"")</f>
        <v>91.596153180000002</v>
      </c>
      <c r="AD5">
        <f ca="1">IFERROR(IF(0=LEN(ReferenceData!$AD$5),"",ReferenceData!$AD$5),"")</f>
        <v>91.535506999999996</v>
      </c>
      <c r="AE5">
        <f ca="1">IFERROR(IF(0=LEN(ReferenceData!$AE$5),"",ReferenceData!$AE$5),"")</f>
        <v>90.672566320000001</v>
      </c>
      <c r="AF5">
        <f ca="1">IFERROR(IF(0=LEN(ReferenceData!$AF$5),"",ReferenceData!$AF$5),"")</f>
        <v>90.036614569999998</v>
      </c>
      <c r="AG5">
        <f ca="1">IFERROR(IF(0=LEN(ReferenceData!$AG$5),"",ReferenceData!$AG$5),"")</f>
        <v>89.56166322</v>
      </c>
      <c r="AH5">
        <f ca="1">IFERROR(IF(0=LEN(ReferenceData!$AH$5),"",ReferenceData!$AH$5),"")</f>
        <v>90.084729289999999</v>
      </c>
      <c r="AI5">
        <f ca="1">IFERROR(IF(0=LEN(ReferenceData!$AI$5),"",ReferenceData!$AI$5),"")</f>
        <v>89.505811859999994</v>
      </c>
      <c r="AJ5">
        <f ca="1">IFERROR(IF(0=LEN(ReferenceData!$AJ$5),"",ReferenceData!$AJ$5),"")</f>
        <v>88.833573380000004</v>
      </c>
      <c r="AK5">
        <f ca="1">IFERROR(IF(0=LEN(ReferenceData!$AK$5),"",ReferenceData!$AK$5),"")</f>
        <v>88.530827680000002</v>
      </c>
      <c r="AL5">
        <f ca="1">IFERROR(IF(0=LEN(ReferenceData!$AL$5),"",ReferenceData!$AL$5),"")</f>
        <v>88.877908039999994</v>
      </c>
      <c r="AM5">
        <f ca="1">IFERROR(IF(0=LEN(ReferenceData!$AM$5),"",ReferenceData!$AM$5),"")</f>
        <v>88.586485710000005</v>
      </c>
      <c r="AN5">
        <f ca="1">IFERROR(IF(0=LEN(ReferenceData!$AN$5),"",ReferenceData!$AN$5),"")</f>
        <v>88.413808779999997</v>
      </c>
      <c r="AO5">
        <f ca="1">IFERROR(IF(0=LEN(ReferenceData!$AO$5),"",ReferenceData!$AO$5),"")</f>
        <v>89.529342830000004</v>
      </c>
      <c r="AP5">
        <f ca="1">IFERROR(IF(0=LEN(ReferenceData!$AP$5),"",ReferenceData!$AP$5),"")</f>
        <v>91.559113850000003</v>
      </c>
      <c r="AQ5">
        <f ca="1">IFERROR(IF(0=LEN(ReferenceData!$AQ$5),"",ReferenceData!$AQ$5),"")</f>
        <v>91.572307309999999</v>
      </c>
      <c r="AR5">
        <f ca="1">IFERROR(IF(0=LEN(ReferenceData!$AR$5),"",ReferenceData!$AR$5),"")</f>
        <v>91.619677030000005</v>
      </c>
      <c r="AS5">
        <f ca="1">IFERROR(IF(0=LEN(ReferenceData!$AS$5),"",ReferenceData!$AS$5),"")</f>
        <v>91.564034539999994</v>
      </c>
      <c r="AT5">
        <f ca="1">IFERROR(IF(0=LEN(ReferenceData!$AT$5),"",ReferenceData!$AT$5),"")</f>
        <v>92.936812900000007</v>
      </c>
      <c r="AU5">
        <f ca="1">IFERROR(IF(0=LEN(ReferenceData!$AU$5),"",ReferenceData!$AU$5),"")</f>
        <v>93.326976329999994</v>
      </c>
      <c r="AV5">
        <f ca="1">IFERROR(IF(0=LEN(ReferenceData!$AV$5),"",ReferenceData!$AV$5),"")</f>
        <v>93.263921339999996</v>
      </c>
      <c r="AW5">
        <f ca="1">IFERROR(IF(0=LEN(ReferenceData!$AW$5),"",ReferenceData!$AW$5),"")</f>
        <v>93.105802670000003</v>
      </c>
      <c r="AX5">
        <f ca="1">IFERROR(IF(0=LEN(ReferenceData!$AX$5),"",ReferenceData!$AX$5),"")</f>
        <v>93.513785049999996</v>
      </c>
      <c r="AY5">
        <f ca="1">IFERROR(IF(0=LEN(ReferenceData!$AY$5),"",ReferenceData!$AY$5),"")</f>
        <v>93.209208050000001</v>
      </c>
      <c r="AZ5">
        <f ca="1">IFERROR(IF(0=LEN(ReferenceData!$AZ$5),"",ReferenceData!$AZ$5),"")</f>
        <v>92.90044795</v>
      </c>
      <c r="BA5">
        <f ca="1">IFERROR(IF(0=LEN(ReferenceData!$BA$5),"",ReferenceData!$BA$5),"")</f>
        <v>92.596444660000003</v>
      </c>
      <c r="BB5">
        <f ca="1">IFERROR(IF(0=LEN(ReferenceData!$BB$5),"",ReferenceData!$BB$5),"")</f>
        <v>92.801308160000005</v>
      </c>
      <c r="BC5">
        <f ca="1">IFERROR(IF(0=LEN(ReferenceData!$BC$5),"",ReferenceData!$BC$5),"")</f>
        <v>91.619605390000004</v>
      </c>
      <c r="BD5">
        <f ca="1">IFERROR(IF(0=LEN(ReferenceData!$BD$5),"",ReferenceData!$BD$5),"")</f>
        <v>91.822580380000005</v>
      </c>
      <c r="BE5">
        <f ca="1">IFERROR(IF(0=LEN(ReferenceData!$BE$5),"",ReferenceData!$BE$5),"")</f>
        <v>92.0606729</v>
      </c>
      <c r="BF5">
        <f ca="1">IFERROR(IF(0=LEN(ReferenceData!$BF$5),"",ReferenceData!$BF$5),"")</f>
        <v>92.103414830000006</v>
      </c>
      <c r="BG5">
        <f ca="1">IFERROR(IF(0=LEN(ReferenceData!$BG$5),"",ReferenceData!$BG$5),"")</f>
        <v>91.551477120000001</v>
      </c>
      <c r="BH5">
        <f ca="1">IFERROR(IF(0=LEN(ReferenceData!$BH$5),"",ReferenceData!$BH$5),"")</f>
        <v>91.322501520000003</v>
      </c>
      <c r="BI5">
        <f ca="1">IFERROR(IF(0=LEN(ReferenceData!$BI$5),"",ReferenceData!$BI$5),"")</f>
        <v>90.993880579999995</v>
      </c>
      <c r="BJ5">
        <f ca="1">IFERROR(IF(0=LEN(ReferenceData!$BJ$5),"",ReferenceData!$BJ$5),"")</f>
        <v>90.00084305</v>
      </c>
      <c r="BK5">
        <f ca="1">IFERROR(IF(0=LEN(ReferenceData!$BK$5),"",ReferenceData!$BK$5),"")</f>
        <v>90.253464210000004</v>
      </c>
      <c r="BL5">
        <f ca="1">IFERROR(IF(0=LEN(ReferenceData!$BL$5),"",ReferenceData!$BL$5),"")</f>
        <v>90.046783809999994</v>
      </c>
      <c r="BM5">
        <f ca="1">IFERROR(IF(0=LEN(ReferenceData!$BM$5),"",ReferenceData!$BM$5),"")</f>
        <v>89.522784239999993</v>
      </c>
    </row>
    <row r="6" spans="1:65">
      <c r="A6" t="str">
        <f>IFERROR(IF(0=LEN(ReferenceData!$A$6),"",ReferenceData!$A$6),"")</f>
        <v xml:space="preserve">    工业房地产投资信托总营运现金流</v>
      </c>
      <c r="B6" t="str">
        <f>IFERROR(IF(0=LEN(ReferenceData!$B$6),"",ReferenceData!$B$6),"")</f>
        <v>RECFFOIN Index</v>
      </c>
      <c r="C6" t="str">
        <f>IFERROR(IF(0=LEN(ReferenceData!$C$6),"",ReferenceData!$C$6),"")</f>
        <v>PR005</v>
      </c>
      <c r="D6" t="str">
        <f>IFERROR(IF(0=LEN(ReferenceData!$D$6),"",ReferenceData!$D$6),"")</f>
        <v>PX_LAST</v>
      </c>
      <c r="E6" t="str">
        <f>IFERROR(IF(0=LEN(ReferenceData!$E$6),"",ReferenceData!$E$6),"")</f>
        <v>动态</v>
      </c>
      <c r="F6">
        <f ca="1">IFERROR(IF(0=LEN(ReferenceData!$F$6),"",ReferenceData!$F$6),"")</f>
        <v>941.42862930000001</v>
      </c>
      <c r="G6">
        <f ca="1">IFERROR(IF(0=LEN(ReferenceData!$G$6),"",ReferenceData!$G$6),"")</f>
        <v>987.04499999999996</v>
      </c>
      <c r="H6">
        <f ca="1">IFERROR(IF(0=LEN(ReferenceData!$H$6),"",ReferenceData!$H$6),"")</f>
        <v>953.74599999999998</v>
      </c>
      <c r="I6">
        <f ca="1">IFERROR(IF(0=LEN(ReferenceData!$I$6),"",ReferenceData!$I$6),"")</f>
        <v>838.072</v>
      </c>
      <c r="J6">
        <f ca="1">IFERROR(IF(0=LEN(ReferenceData!$J$6),"",ReferenceData!$J$6),"")</f>
        <v>983.11699999999996</v>
      </c>
      <c r="K6">
        <f ca="1">IFERROR(IF(0=LEN(ReferenceData!$K$6),"",ReferenceData!$K$6),"")</f>
        <v>911.86699999999996</v>
      </c>
      <c r="L6">
        <f ca="1">IFERROR(IF(0=LEN(ReferenceData!$L$6),"",ReferenceData!$L$6),"")</f>
        <v>789.13499999999999</v>
      </c>
      <c r="M6">
        <f ca="1">IFERROR(IF(0=LEN(ReferenceData!$M$6),"",ReferenceData!$M$6),"")</f>
        <v>804.00400000000002</v>
      </c>
      <c r="N6">
        <f ca="1">IFERROR(IF(0=LEN(ReferenceData!$N$6),"",ReferenceData!$N$6),"")</f>
        <v>730.12900000000002</v>
      </c>
      <c r="O6">
        <f ca="1">IFERROR(IF(0=LEN(ReferenceData!$O$6),"",ReferenceData!$O$6),"")</f>
        <v>854.38400000000001</v>
      </c>
      <c r="P6">
        <f ca="1">IFERROR(IF(0=LEN(ReferenceData!$P$6),"",ReferenceData!$P$6),"")</f>
        <v>678.02800000000002</v>
      </c>
      <c r="Q6">
        <f ca="1">IFERROR(IF(0=LEN(ReferenceData!$Q$6),"",ReferenceData!$Q$6),"")</f>
        <v>699.601</v>
      </c>
      <c r="R6">
        <f ca="1">IFERROR(IF(0=LEN(ReferenceData!$R$6),"",ReferenceData!$R$6),"")</f>
        <v>664.72400000000005</v>
      </c>
      <c r="S6">
        <f ca="1">IFERROR(IF(0=LEN(ReferenceData!$S$6),"",ReferenceData!$S$6),"")</f>
        <v>683.58900000000006</v>
      </c>
      <c r="T6">
        <f ca="1">IFERROR(IF(0=LEN(ReferenceData!$T$6),"",ReferenceData!$T$6),"")</f>
        <v>592.63400000000001</v>
      </c>
      <c r="U6">
        <f ca="1">IFERROR(IF(0=LEN(ReferenceData!$U$6),"",ReferenceData!$U$6),"")</f>
        <v>559.09199999999998</v>
      </c>
      <c r="V6">
        <f ca="1">IFERROR(IF(0=LEN(ReferenceData!$V$6),"",ReferenceData!$V$6),"")</f>
        <v>575.00800000000004</v>
      </c>
      <c r="W6">
        <f ca="1">IFERROR(IF(0=LEN(ReferenceData!$W$6),"",ReferenceData!$W$6),"")</f>
        <v>456.00200000000001</v>
      </c>
      <c r="X6">
        <f ca="1">IFERROR(IF(0=LEN(ReferenceData!$X$6),"",ReferenceData!$X$6),"")</f>
        <v>506.23599999999999</v>
      </c>
      <c r="Y6">
        <f ca="1">IFERROR(IF(0=LEN(ReferenceData!$Y$6),"",ReferenceData!$Y$6),"")</f>
        <v>684.92</v>
      </c>
      <c r="Z6">
        <f ca="1">IFERROR(IF(0=LEN(ReferenceData!$Z$6),"",ReferenceData!$Z$6),"")</f>
        <v>226.102</v>
      </c>
      <c r="AA6">
        <f ca="1">IFERROR(IF(0=LEN(ReferenceData!$AA$6),"",ReferenceData!$AA$6),"")</f>
        <v>506.22399999999999</v>
      </c>
      <c r="AB6">
        <f ca="1">IFERROR(IF(0=LEN(ReferenceData!$AB$6),"",ReferenceData!$AB$6),"")</f>
        <v>454.44400000000002</v>
      </c>
      <c r="AC6">
        <f ca="1">IFERROR(IF(0=LEN(ReferenceData!$AC$6),"",ReferenceData!$AC$6),"")</f>
        <v>523.572</v>
      </c>
      <c r="AD6">
        <f ca="1">IFERROR(IF(0=LEN(ReferenceData!$AD$6),"",ReferenceData!$AD$6),"")</f>
        <v>427.488</v>
      </c>
      <c r="AE6">
        <f ca="1">IFERROR(IF(0=LEN(ReferenceData!$AE$6),"",ReferenceData!$AE$6),"")</f>
        <v>549.35299999999995</v>
      </c>
      <c r="AF6">
        <f ca="1">IFERROR(IF(0=LEN(ReferenceData!$AF$6),"",ReferenceData!$AF$6),"")</f>
        <v>281.76499999999999</v>
      </c>
      <c r="AG6">
        <f ca="1">IFERROR(IF(0=LEN(ReferenceData!$AG$6),"",ReferenceData!$AG$6),"")</f>
        <v>387.286</v>
      </c>
      <c r="AH6">
        <f ca="1">IFERROR(IF(0=LEN(ReferenceData!$AH$6),"",ReferenceData!$AH$6),"")</f>
        <v>-846.13900000000001</v>
      </c>
      <c r="AI6">
        <f ca="1">IFERROR(IF(0=LEN(ReferenceData!$AI$6),"",ReferenceData!$AI$6),"")</f>
        <v>326.12549999999999</v>
      </c>
      <c r="AJ6">
        <f ca="1">IFERROR(IF(0=LEN(ReferenceData!$AJ$6),"",ReferenceData!$AJ$6),"")</f>
        <v>362.79</v>
      </c>
      <c r="AK6">
        <f ca="1">IFERROR(IF(0=LEN(ReferenceData!$AK$6),"",ReferenceData!$AK$6),"")</f>
        <v>294.01400000000001</v>
      </c>
      <c r="AL6">
        <f ca="1">IFERROR(IF(0=LEN(ReferenceData!$AL$6),"",ReferenceData!$AL$6),"")</f>
        <v>6.8280000000000003</v>
      </c>
      <c r="AM6">
        <f ca="1">IFERROR(IF(0=LEN(ReferenceData!$AM$6),"",ReferenceData!$AM$6),"")</f>
        <v>159.416</v>
      </c>
      <c r="AN6">
        <f ca="1">IFERROR(IF(0=LEN(ReferenceData!$AN$6),"",ReferenceData!$AN$6),"")</f>
        <v>468.43700000000001</v>
      </c>
      <c r="AO6">
        <f ca="1">IFERROR(IF(0=LEN(ReferenceData!$AO$6),"",ReferenceData!$AO$6),"")</f>
        <v>534.30600000000004</v>
      </c>
      <c r="AP6">
        <f ca="1">IFERROR(IF(0=LEN(ReferenceData!$AP$6),"",ReferenceData!$AP$6),"")</f>
        <v>-688.18399999999997</v>
      </c>
      <c r="AQ6">
        <f ca="1">IFERROR(IF(0=LEN(ReferenceData!$AQ$6),"",ReferenceData!$AQ$6),"")</f>
        <v>510.108</v>
      </c>
      <c r="AR6">
        <f ca="1">IFERROR(IF(0=LEN(ReferenceData!$AR$6),"",ReferenceData!$AR$6),"")</f>
        <v>708.95600000000002</v>
      </c>
      <c r="AS6">
        <f ca="1">IFERROR(IF(0=LEN(ReferenceData!$AS$6),"",ReferenceData!$AS$6),"")</f>
        <v>634.42399999999998</v>
      </c>
      <c r="AT6">
        <f ca="1">IFERROR(IF(0=LEN(ReferenceData!$AT$6),"",ReferenceData!$AT$6),"")</f>
        <v>653.48450000000003</v>
      </c>
      <c r="AU6">
        <f ca="1">IFERROR(IF(0=LEN(ReferenceData!$AU$6),"",ReferenceData!$AU$6),"")</f>
        <v>727.87800000000004</v>
      </c>
      <c r="AV6">
        <f ca="1">IFERROR(IF(0=LEN(ReferenceData!$AV$6),"",ReferenceData!$AV$6),"")</f>
        <v>714.02099999999996</v>
      </c>
      <c r="AW6">
        <f ca="1">IFERROR(IF(0=LEN(ReferenceData!$AW$6),"",ReferenceData!$AW$6),"")</f>
        <v>668.79600000000005</v>
      </c>
      <c r="AX6">
        <f ca="1">IFERROR(IF(0=LEN(ReferenceData!$AX$6),"",ReferenceData!$AX$6),"")</f>
        <v>732.99099999999999</v>
      </c>
      <c r="AY6">
        <f ca="1">IFERROR(IF(0=LEN(ReferenceData!$AY$6),"",ReferenceData!$AY$6),"")</f>
        <v>565.20600000000002</v>
      </c>
      <c r="AZ6">
        <f ca="1">IFERROR(IF(0=LEN(ReferenceData!$AZ$6),"",ReferenceData!$AZ$6),"")</f>
        <v>573.476</v>
      </c>
      <c r="BA6">
        <f ca="1">IFERROR(IF(0=LEN(ReferenceData!$BA$6),"",ReferenceData!$BA$6),"")</f>
        <v>528.79499999999996</v>
      </c>
      <c r="BB6">
        <f ca="1">IFERROR(IF(0=LEN(ReferenceData!$BB$6),"",ReferenceData!$BB$6),"")</f>
        <v>517.46900000000005</v>
      </c>
      <c r="BC6">
        <f ca="1">IFERROR(IF(0=LEN(ReferenceData!$BC$6),"",ReferenceData!$BC$6),"")</f>
        <v>498.33300000000003</v>
      </c>
      <c r="BD6">
        <f ca="1">IFERROR(IF(0=LEN(ReferenceData!$BD$6),"",ReferenceData!$BD$6),"")</f>
        <v>523.06600000000003</v>
      </c>
      <c r="BE6">
        <f ca="1">IFERROR(IF(0=LEN(ReferenceData!$BE$6),"",ReferenceData!$BE$6),"")</f>
        <v>490.596</v>
      </c>
      <c r="BF6">
        <f ca="1">IFERROR(IF(0=LEN(ReferenceData!$BF$6),"",ReferenceData!$BF$6),"")</f>
        <v>489.25400000000002</v>
      </c>
      <c r="BG6">
        <f ca="1">IFERROR(IF(0=LEN(ReferenceData!$BG$6),"",ReferenceData!$BG$6),"")</f>
        <v>526.94500000000005</v>
      </c>
      <c r="BH6">
        <f ca="1">IFERROR(IF(0=LEN(ReferenceData!$BH$6),"",ReferenceData!$BH$6),"")</f>
        <v>495.08699999999999</v>
      </c>
      <c r="BI6">
        <f ca="1">IFERROR(IF(0=LEN(ReferenceData!$BI$6),"",ReferenceData!$BI$6),"")</f>
        <v>468.91399999999999</v>
      </c>
      <c r="BJ6">
        <f ca="1">IFERROR(IF(0=LEN(ReferenceData!$BJ$6),"",ReferenceData!$BJ$6),"")</f>
        <v>488.13900000000001</v>
      </c>
      <c r="BK6">
        <f ca="1">IFERROR(IF(0=LEN(ReferenceData!$BK$6),"",ReferenceData!$BK$6),"")</f>
        <v>373.62200000000001</v>
      </c>
      <c r="BL6">
        <f ca="1">IFERROR(IF(0=LEN(ReferenceData!$BL$6),"",ReferenceData!$BL$6),"")</f>
        <v>405.34300000000002</v>
      </c>
      <c r="BM6">
        <f ca="1">IFERROR(IF(0=LEN(ReferenceData!$BM$6),"",ReferenceData!$BM$6),"")</f>
        <v>413.11099999999999</v>
      </c>
    </row>
    <row r="7" spans="1:65">
      <c r="A7" t="str">
        <f>IFERROR(IF(0=LEN(ReferenceData!$A$7),"",ReferenceData!$A$7),"")</f>
        <v xml:space="preserve">    工业房地产投资信托净营业利润</v>
      </c>
      <c r="B7" t="str">
        <f>IFERROR(IF(0=LEN(ReferenceData!$B$7),"",ReferenceData!$B$7),"")</f>
        <v>RECFNOIN Index</v>
      </c>
      <c r="C7" t="str">
        <f>IFERROR(IF(0=LEN(ReferenceData!$C$7),"",ReferenceData!$C$7),"")</f>
        <v>PR005</v>
      </c>
      <c r="D7" t="str">
        <f>IFERROR(IF(0=LEN(ReferenceData!$D$7),"",ReferenceData!$D$7),"")</f>
        <v>PX_LAST</v>
      </c>
      <c r="E7" t="str">
        <f>IFERROR(IF(0=LEN(ReferenceData!$E$7),"",ReferenceData!$E$7),"")</f>
        <v>动态</v>
      </c>
      <c r="F7">
        <f ca="1">IFERROR(IF(0=LEN(ReferenceData!$F$7),"",ReferenceData!$F$7),"")</f>
        <v>1095.4873070000001</v>
      </c>
      <c r="G7">
        <f ca="1">IFERROR(IF(0=LEN(ReferenceData!$G$7),"",ReferenceData!$G$7),"")</f>
        <v>1076.732</v>
      </c>
      <c r="H7">
        <f ca="1">IFERROR(IF(0=LEN(ReferenceData!$H$7),"",ReferenceData!$H$7),"")</f>
        <v>1091.0550000000001</v>
      </c>
      <c r="I7">
        <f ca="1">IFERROR(IF(0=LEN(ReferenceData!$I$7),"",ReferenceData!$I$7),"")</f>
        <v>1093.0450000000001</v>
      </c>
      <c r="J7">
        <f ca="1">IFERROR(IF(0=LEN(ReferenceData!$J$7),"",ReferenceData!$J$7),"")</f>
        <v>1038.174</v>
      </c>
      <c r="K7">
        <f ca="1">IFERROR(IF(0=LEN(ReferenceData!$K$7),"",ReferenceData!$K$7),"")</f>
        <v>1079.3620000000001</v>
      </c>
      <c r="L7">
        <f ca="1">IFERROR(IF(0=LEN(ReferenceData!$L$7),"",ReferenceData!$L$7),"")</f>
        <v>1047.7650000000001</v>
      </c>
      <c r="M7">
        <f ca="1">IFERROR(IF(0=LEN(ReferenceData!$M$7),"",ReferenceData!$M$7),"")</f>
        <v>1035.105</v>
      </c>
      <c r="N7">
        <f ca="1">IFERROR(IF(0=LEN(ReferenceData!$N$7),"",ReferenceData!$N$7),"")</f>
        <v>1066.008</v>
      </c>
      <c r="O7">
        <f ca="1">IFERROR(IF(0=LEN(ReferenceData!$O$7),"",ReferenceData!$O$7),"")</f>
        <v>1058.3599999999999</v>
      </c>
      <c r="P7">
        <f ca="1">IFERROR(IF(0=LEN(ReferenceData!$P$7),"",ReferenceData!$P$7),"")</f>
        <v>1003.383</v>
      </c>
      <c r="Q7">
        <f ca="1">IFERROR(IF(0=LEN(ReferenceData!$Q$7),"",ReferenceData!$Q$7),"")</f>
        <v>943.47299999999996</v>
      </c>
      <c r="R7">
        <f ca="1">IFERROR(IF(0=LEN(ReferenceData!$R$7),"",ReferenceData!$R$7),"")</f>
        <v>942.37</v>
      </c>
      <c r="S7">
        <f ca="1">IFERROR(IF(0=LEN(ReferenceData!$S$7),"",ReferenceData!$S$7),"")</f>
        <v>900.01199999999994</v>
      </c>
      <c r="T7">
        <f ca="1">IFERROR(IF(0=LEN(ReferenceData!$T$7),"",ReferenceData!$T$7),"")</f>
        <v>903.86400000000003</v>
      </c>
      <c r="U7">
        <f ca="1">IFERROR(IF(0=LEN(ReferenceData!$U$7),"",ReferenceData!$U$7),"")</f>
        <v>884.75900000000001</v>
      </c>
      <c r="V7">
        <f ca="1">IFERROR(IF(0=LEN(ReferenceData!$V$7),"",ReferenceData!$V$7),"")</f>
        <v>883.947</v>
      </c>
      <c r="W7">
        <f ca="1">IFERROR(IF(0=LEN(ReferenceData!$W$7),"",ReferenceData!$W$7),"")</f>
        <v>856.65</v>
      </c>
      <c r="X7">
        <f ca="1">IFERROR(IF(0=LEN(ReferenceData!$X$7),"",ReferenceData!$X$7),"")</f>
        <v>828.85699999999997</v>
      </c>
      <c r="Y7">
        <f ca="1">IFERROR(IF(0=LEN(ReferenceData!$Y$7),"",ReferenceData!$Y$7),"")</f>
        <v>885.96600000000001</v>
      </c>
      <c r="Z7">
        <f ca="1">IFERROR(IF(0=LEN(ReferenceData!$Z$7),"",ReferenceData!$Z$7),"")</f>
        <v>913.76800000000003</v>
      </c>
      <c r="AA7">
        <f ca="1">IFERROR(IF(0=LEN(ReferenceData!$AA$7),"",ReferenceData!$AA$7),"")</f>
        <v>881.18700000000001</v>
      </c>
      <c r="AB7">
        <f ca="1">IFERROR(IF(0=LEN(ReferenceData!$AB$7),"",ReferenceData!$AB$7),"")</f>
        <v>888.35400000000004</v>
      </c>
      <c r="AC7">
        <f ca="1">IFERROR(IF(0=LEN(ReferenceData!$AC$7),"",ReferenceData!$AC$7),"")</f>
        <v>866.48199999999997</v>
      </c>
      <c r="AD7">
        <f ca="1">IFERROR(IF(0=LEN(ReferenceData!$AD$7),"",ReferenceData!$AD$7),"")</f>
        <v>823.97799999999995</v>
      </c>
      <c r="AE7">
        <f ca="1">IFERROR(IF(0=LEN(ReferenceData!$AE$7),"",ReferenceData!$AE$7),"")</f>
        <v>856.95600000000002</v>
      </c>
      <c r="AF7">
        <f ca="1">IFERROR(IF(0=LEN(ReferenceData!$AF$7),"",ReferenceData!$AF$7),"")</f>
        <v>726.34699999999998</v>
      </c>
      <c r="AG7">
        <f ca="1">IFERROR(IF(0=LEN(ReferenceData!$AG$7),"",ReferenceData!$AG$7),"")</f>
        <v>739.01099999999997</v>
      </c>
      <c r="AH7">
        <f ca="1">IFERROR(IF(0=LEN(ReferenceData!$AH$7),"",ReferenceData!$AH$7),"")</f>
        <v>753.15099999999995</v>
      </c>
      <c r="AI7">
        <f ca="1">IFERROR(IF(0=LEN(ReferenceData!$AI$7),"",ReferenceData!$AI$7),"")</f>
        <v>776.41150000000005</v>
      </c>
      <c r="AJ7">
        <f ca="1">IFERROR(IF(0=LEN(ReferenceData!$AJ$7),"",ReferenceData!$AJ$7),"")</f>
        <v>755.95699999999999</v>
      </c>
      <c r="AK7">
        <f ca="1">IFERROR(IF(0=LEN(ReferenceData!$AK$7),"",ReferenceData!$AK$7),"")</f>
        <v>743.93799999999999</v>
      </c>
      <c r="AL7">
        <f ca="1">IFERROR(IF(0=LEN(ReferenceData!$AL$7),"",ReferenceData!$AL$7),"")</f>
        <v>758.22699999999998</v>
      </c>
      <c r="AM7">
        <f ca="1">IFERROR(IF(0=LEN(ReferenceData!$AM$7),"",ReferenceData!$AM$7),"")</f>
        <v>749.61400000000003</v>
      </c>
      <c r="AN7">
        <f ca="1">IFERROR(IF(0=LEN(ReferenceData!$AN$7),"",ReferenceData!$AN$7),"")</f>
        <v>747.68200000000002</v>
      </c>
      <c r="AO7">
        <f ca="1">IFERROR(IF(0=LEN(ReferenceData!$AO$7),"",ReferenceData!$AO$7),"")</f>
        <v>972.64200000000005</v>
      </c>
      <c r="AP7">
        <f ca="1">IFERROR(IF(0=LEN(ReferenceData!$AP$7),"",ReferenceData!$AP$7),"")</f>
        <v>888.95399999999995</v>
      </c>
      <c r="AQ7">
        <f ca="1">IFERROR(IF(0=LEN(ReferenceData!$AQ$7),"",ReferenceData!$AQ$7),"")</f>
        <v>875.29100000000005</v>
      </c>
      <c r="AR7">
        <f ca="1">IFERROR(IF(0=LEN(ReferenceData!$AR$7),"",ReferenceData!$AR$7),"")</f>
        <v>1018.14</v>
      </c>
      <c r="AS7">
        <f ca="1">IFERROR(IF(0=LEN(ReferenceData!$AS$7),"",ReferenceData!$AS$7),"")</f>
        <v>1086.758</v>
      </c>
      <c r="AT7">
        <f ca="1">IFERROR(IF(0=LEN(ReferenceData!$AT$7),"",ReferenceData!$AT$7),"")</f>
        <v>921.79600000000005</v>
      </c>
      <c r="AU7">
        <f ca="1">IFERROR(IF(0=LEN(ReferenceData!$AU$7),"",ReferenceData!$AU$7),"")</f>
        <v>1090.5385000000001</v>
      </c>
      <c r="AV7">
        <f ca="1">IFERROR(IF(0=LEN(ReferenceData!$AV$7),"",ReferenceData!$AV$7),"")</f>
        <v>1027.5619999999999</v>
      </c>
      <c r="AW7">
        <f ca="1">IFERROR(IF(0=LEN(ReferenceData!$AW$7),"",ReferenceData!$AW$7),"")</f>
        <v>1033.223</v>
      </c>
      <c r="AX7">
        <f ca="1">IFERROR(IF(0=LEN(ReferenceData!$AX$7),"",ReferenceData!$AX$7),"")</f>
        <v>825.06799999999998</v>
      </c>
      <c r="AY7">
        <f ca="1">IFERROR(IF(0=LEN(ReferenceData!$AY$7),"",ReferenceData!$AY$7),"")</f>
        <v>842.33249999999998</v>
      </c>
      <c r="AZ7">
        <f ca="1">IFERROR(IF(0=LEN(ReferenceData!$AZ$7),"",ReferenceData!$AZ$7),"")</f>
        <v>843.70600000000002</v>
      </c>
      <c r="BA7">
        <f ca="1">IFERROR(IF(0=LEN(ReferenceData!$BA$7),"",ReferenceData!$BA$7),"")</f>
        <v>757.08600000000001</v>
      </c>
      <c r="BB7">
        <f ca="1">IFERROR(IF(0=LEN(ReferenceData!$BB$7),"",ReferenceData!$BB$7),"")</f>
        <v>743.12300000000005</v>
      </c>
      <c r="BC7">
        <f ca="1">IFERROR(IF(0=LEN(ReferenceData!$BC$7),"",ReferenceData!$BC$7),"")</f>
        <v>700.54399999999998</v>
      </c>
      <c r="BD7">
        <f ca="1">IFERROR(IF(0=LEN(ReferenceData!$BD$7),"",ReferenceData!$BD$7),"")</f>
        <v>756.63099999999997</v>
      </c>
      <c r="BE7">
        <f ca="1">IFERROR(IF(0=LEN(ReferenceData!$BE$7),"",ReferenceData!$BE$7),"")</f>
        <v>748.77099999999996</v>
      </c>
      <c r="BF7">
        <f ca="1">IFERROR(IF(0=LEN(ReferenceData!$BF$7),"",ReferenceData!$BF$7),"")</f>
        <v>784.54300000000001</v>
      </c>
      <c r="BG7">
        <f ca="1">IFERROR(IF(0=LEN(ReferenceData!$BG$7),"",ReferenceData!$BG$7),"")</f>
        <v>732.68499999999995</v>
      </c>
      <c r="BH7">
        <f ca="1">IFERROR(IF(0=LEN(ReferenceData!$BH$7),"",ReferenceData!$BH$7),"")</f>
        <v>726.78099999999995</v>
      </c>
      <c r="BI7">
        <f ca="1">IFERROR(IF(0=LEN(ReferenceData!$BI$7),"",ReferenceData!$BI$7),"")</f>
        <v>709.05600000000004</v>
      </c>
      <c r="BJ7">
        <f ca="1">IFERROR(IF(0=LEN(ReferenceData!$BJ$7),"",ReferenceData!$BJ$7),"")</f>
        <v>658.22550000000001</v>
      </c>
      <c r="BK7">
        <f ca="1">IFERROR(IF(0=LEN(ReferenceData!$BK$7),"",ReferenceData!$BK$7),"")</f>
        <v>625.88599999999997</v>
      </c>
      <c r="BL7">
        <f ca="1">IFERROR(IF(0=LEN(ReferenceData!$BL$7),"",ReferenceData!$BL$7),"")</f>
        <v>622.27599999999995</v>
      </c>
      <c r="BM7">
        <f ca="1">IFERROR(IF(0=LEN(ReferenceData!$BM$7),"",ReferenceData!$BM$7),"")</f>
        <v>612.03300000000002</v>
      </c>
    </row>
    <row r="8" spans="1:65">
      <c r="A8" t="str">
        <f>IFERROR(IF(0=LEN(ReferenceData!$A$8),"",ReferenceData!$A$8),"")</f>
        <v xml:space="preserve">    工业房地产投资信托总股利支付</v>
      </c>
      <c r="B8" t="str">
        <f>IFERROR(IF(0=LEN(ReferenceData!$B$8),"",ReferenceData!$B$8),"")</f>
        <v>RECFTDIN Index</v>
      </c>
      <c r="C8" t="str">
        <f>IFERROR(IF(0=LEN(ReferenceData!$C$8),"",ReferenceData!$C$8),"")</f>
        <v>PR005</v>
      </c>
      <c r="D8" t="str">
        <f>IFERROR(IF(0=LEN(ReferenceData!$D$8),"",ReferenceData!$D$8),"")</f>
        <v>PX_LAST</v>
      </c>
      <c r="E8" t="str">
        <f>IFERROR(IF(0=LEN(ReferenceData!$E$8),"",ReferenceData!$E$8),"")</f>
        <v>动态</v>
      </c>
      <c r="F8">
        <f ca="1">IFERROR(IF(0=LEN(ReferenceData!$F$8),"",ReferenceData!$F$8),"")</f>
        <v>952.89951659999997</v>
      </c>
      <c r="G8">
        <f ca="1">IFERROR(IF(0=LEN(ReferenceData!$G$8),"",ReferenceData!$G$8),"")</f>
        <v>598.84500000000003</v>
      </c>
      <c r="H8">
        <f ca="1">IFERROR(IF(0=LEN(ReferenceData!$H$8),"",ReferenceData!$H$8),"")</f>
        <v>619.97900000000004</v>
      </c>
      <c r="I8">
        <f ca="1">IFERROR(IF(0=LEN(ReferenceData!$I$8),"",ReferenceData!$I$8),"")</f>
        <v>596.33600000000001</v>
      </c>
      <c r="J8">
        <f ca="1">IFERROR(IF(0=LEN(ReferenceData!$J$8),"",ReferenceData!$J$8),"")</f>
        <v>586.47199999999998</v>
      </c>
      <c r="K8">
        <f ca="1">IFERROR(IF(0=LEN(ReferenceData!$K$8),"",ReferenceData!$K$8),"")</f>
        <v>618.12900000000002</v>
      </c>
      <c r="L8">
        <f ca="1">IFERROR(IF(0=LEN(ReferenceData!$L$8),"",ReferenceData!$L$8),"")</f>
        <v>661.03800000000001</v>
      </c>
      <c r="M8">
        <f ca="1">IFERROR(IF(0=LEN(ReferenceData!$M$8),"",ReferenceData!$M$8),"")</f>
        <v>594.875</v>
      </c>
      <c r="N8">
        <f ca="1">IFERROR(IF(0=LEN(ReferenceData!$N$8),"",ReferenceData!$N$8),"")</f>
        <v>637.02800000000002</v>
      </c>
      <c r="O8">
        <f ca="1">IFERROR(IF(0=LEN(ReferenceData!$O$8),"",ReferenceData!$O$8),"")</f>
        <v>637.91300000000001</v>
      </c>
      <c r="P8">
        <f ca="1">IFERROR(IF(0=LEN(ReferenceData!$P$8),"",ReferenceData!$P$8),"")</f>
        <v>503.65</v>
      </c>
      <c r="Q8">
        <f ca="1">IFERROR(IF(0=LEN(ReferenceData!$Q$8),"",ReferenceData!$Q$8),"")</f>
        <v>504.40100000000001</v>
      </c>
      <c r="R8">
        <f ca="1">IFERROR(IF(0=LEN(ReferenceData!$R$8),"",ReferenceData!$R$8),"")</f>
        <v>601.74400000000003</v>
      </c>
      <c r="S8">
        <f ca="1">IFERROR(IF(0=LEN(ReferenceData!$S$8),"",ReferenceData!$S$8),"")</f>
        <v>460.76799999999997</v>
      </c>
      <c r="T8">
        <f ca="1">IFERROR(IF(0=LEN(ReferenceData!$T$8),"",ReferenceData!$T$8),"")</f>
        <v>706.16399999999999</v>
      </c>
      <c r="U8">
        <f ca="1">IFERROR(IF(0=LEN(ReferenceData!$U$8),"",ReferenceData!$U$8),"")</f>
        <v>446.77100000000002</v>
      </c>
      <c r="V8">
        <f ca="1">IFERROR(IF(0=LEN(ReferenceData!$V$8),"",ReferenceData!$V$8),"")</f>
        <v>485.98399999999998</v>
      </c>
      <c r="W8">
        <f ca="1">IFERROR(IF(0=LEN(ReferenceData!$W$8),"",ReferenceData!$W$8),"")</f>
        <v>441.50900000000001</v>
      </c>
      <c r="X8">
        <f ca="1">IFERROR(IF(0=LEN(ReferenceData!$X$8),"",ReferenceData!$X$8),"")</f>
        <v>397.46499999999997</v>
      </c>
      <c r="Y8">
        <f ca="1">IFERROR(IF(0=LEN(ReferenceData!$Y$8),"",ReferenceData!$Y$8),"")</f>
        <v>379.072</v>
      </c>
      <c r="Z8">
        <f ca="1">IFERROR(IF(0=LEN(ReferenceData!$Z$8),"",ReferenceData!$Z$8),"")</f>
        <v>404.33800000000002</v>
      </c>
      <c r="AA8">
        <f ca="1">IFERROR(IF(0=LEN(ReferenceData!$AA$8),"",ReferenceData!$AA$8),"")</f>
        <v>376.084</v>
      </c>
      <c r="AB8">
        <f ca="1">IFERROR(IF(0=LEN(ReferenceData!$AB$8),"",ReferenceData!$AB$8),"")</f>
        <v>366.423</v>
      </c>
      <c r="AC8">
        <f ca="1">IFERROR(IF(0=LEN(ReferenceData!$AC$8),"",ReferenceData!$AC$8),"")</f>
        <v>359.02</v>
      </c>
      <c r="AD8">
        <f ca="1">IFERROR(IF(0=LEN(ReferenceData!$AD$8),"",ReferenceData!$AD$8),"")</f>
        <v>350.37200000000001</v>
      </c>
      <c r="AE8">
        <f ca="1">IFERROR(IF(0=LEN(ReferenceData!$AE$8),"",ReferenceData!$AE$8),"")</f>
        <v>363.67399999999998</v>
      </c>
      <c r="AF8">
        <f ca="1">IFERROR(IF(0=LEN(ReferenceData!$AF$8),"",ReferenceData!$AF$8),"")</f>
        <v>277.70499999999998</v>
      </c>
      <c r="AG8">
        <f ca="1">IFERROR(IF(0=LEN(ReferenceData!$AG$8),"",ReferenceData!$AG$8),"")</f>
        <v>377.38499999999999</v>
      </c>
      <c r="AH8">
        <f ca="1">IFERROR(IF(0=LEN(ReferenceData!$AH$8),"",ReferenceData!$AH$8),"")</f>
        <v>327.49200000000002</v>
      </c>
      <c r="AI8">
        <f ca="1">IFERROR(IF(0=LEN(ReferenceData!$AI$8),"",ReferenceData!$AI$8),"")</f>
        <v>333.37599999999998</v>
      </c>
      <c r="AJ8">
        <f ca="1">IFERROR(IF(0=LEN(ReferenceData!$AJ$8),"",ReferenceData!$AJ$8),"")</f>
        <v>326.214</v>
      </c>
      <c r="AK8">
        <f ca="1">IFERROR(IF(0=LEN(ReferenceData!$AK$8),"",ReferenceData!$AK$8),"")</f>
        <v>324.02</v>
      </c>
      <c r="AL8">
        <f ca="1">IFERROR(IF(0=LEN(ReferenceData!$AL$8),"",ReferenceData!$AL$8),"")</f>
        <v>322.26900000000001</v>
      </c>
      <c r="AM8">
        <f ca="1">IFERROR(IF(0=LEN(ReferenceData!$AM$8),"",ReferenceData!$AM$8),"")</f>
        <v>320.16899999999998</v>
      </c>
      <c r="AN8">
        <f ca="1">IFERROR(IF(0=LEN(ReferenceData!$AN$8),"",ReferenceData!$AN$8),"")</f>
        <v>313.83800000000002</v>
      </c>
      <c r="AO8">
        <f ca="1">IFERROR(IF(0=LEN(ReferenceData!$AO$8),"",ReferenceData!$AO$8),"")</f>
        <v>283.63799999999998</v>
      </c>
      <c r="AP8">
        <f ca="1">IFERROR(IF(0=LEN(ReferenceData!$AP$8),"",ReferenceData!$AP$8),"")</f>
        <v>480.99799999999999</v>
      </c>
      <c r="AQ8">
        <f ca="1">IFERROR(IF(0=LEN(ReferenceData!$AQ$8),"",ReferenceData!$AQ$8),"")</f>
        <v>510.55900000000003</v>
      </c>
      <c r="AR8">
        <f ca="1">IFERROR(IF(0=LEN(ReferenceData!$AR$8),"",ReferenceData!$AR$8),"")</f>
        <v>505.59699999999998</v>
      </c>
      <c r="AS8">
        <f ca="1">IFERROR(IF(0=LEN(ReferenceData!$AS$8),"",ReferenceData!$AS$8),"")</f>
        <v>512.09699999999998</v>
      </c>
      <c r="AT8">
        <f ca="1">IFERROR(IF(0=LEN(ReferenceData!$AT$8),"",ReferenceData!$AT$8),"")</f>
        <v>499.98950000000002</v>
      </c>
      <c r="AU8">
        <f ca="1">IFERROR(IF(0=LEN(ReferenceData!$AU$8),"",ReferenceData!$AU$8),"")</f>
        <v>496.52499999999998</v>
      </c>
      <c r="AV8">
        <f ca="1">IFERROR(IF(0=LEN(ReferenceData!$AV$8),"",ReferenceData!$AV$8),"")</f>
        <v>478.03100000000001</v>
      </c>
      <c r="AW8">
        <f ca="1">IFERROR(IF(0=LEN(ReferenceData!$AW$8),"",ReferenceData!$AW$8),"")</f>
        <v>505.76900000000001</v>
      </c>
      <c r="AX8">
        <f ca="1">IFERROR(IF(0=LEN(ReferenceData!$AX$8),"",ReferenceData!$AX$8),"")</f>
        <v>445.14100000000002</v>
      </c>
      <c r="AY8">
        <f ca="1">IFERROR(IF(0=LEN(ReferenceData!$AY$8),"",ReferenceData!$AY$8),"")</f>
        <v>435.80799999999999</v>
      </c>
      <c r="AZ8">
        <f ca="1">IFERROR(IF(0=LEN(ReferenceData!$AZ$8),"",ReferenceData!$AZ$8),"")</f>
        <v>396.416</v>
      </c>
      <c r="BA8">
        <f ca="1">IFERROR(IF(0=LEN(ReferenceData!$BA$8),"",ReferenceData!$BA$8),"")</f>
        <v>422.37799999999999</v>
      </c>
      <c r="BB8">
        <f ca="1">IFERROR(IF(0=LEN(ReferenceData!$BB$8),"",ReferenceData!$BB$8),"")</f>
        <v>836.88</v>
      </c>
      <c r="BC8">
        <f ca="1">IFERROR(IF(0=LEN(ReferenceData!$BC$8),"",ReferenceData!$BC$8),"")</f>
        <v>392.41500000000002</v>
      </c>
      <c r="BD8">
        <f ca="1">IFERROR(IF(0=LEN(ReferenceData!$BD$8),"",ReferenceData!$BD$8),"")</f>
        <v>437.25</v>
      </c>
      <c r="BE8">
        <f ca="1">IFERROR(IF(0=LEN(ReferenceData!$BE$8),"",ReferenceData!$BE$8),"")</f>
        <v>470.62599999999998</v>
      </c>
      <c r="BF8">
        <f ca="1">IFERROR(IF(0=LEN(ReferenceData!$BF$8),"",ReferenceData!$BF$8),"")</f>
        <v>418.99299999999999</v>
      </c>
      <c r="BG8">
        <f ca="1">IFERROR(IF(0=LEN(ReferenceData!$BG$8),"",ReferenceData!$BG$8),"")</f>
        <v>389.64400000000001</v>
      </c>
      <c r="BH8">
        <f ca="1">IFERROR(IF(0=LEN(ReferenceData!$BH$8),"",ReferenceData!$BH$8),"")</f>
        <v>398.86099999999999</v>
      </c>
      <c r="BI8">
        <f ca="1">IFERROR(IF(0=LEN(ReferenceData!$BI$8),"",ReferenceData!$BI$8),"")</f>
        <v>382.44799999999998</v>
      </c>
      <c r="BJ8">
        <f ca="1">IFERROR(IF(0=LEN(ReferenceData!$BJ$8),"",ReferenceData!$BJ$8),"")</f>
        <v>373.04450000000003</v>
      </c>
      <c r="BK8">
        <f ca="1">IFERROR(IF(0=LEN(ReferenceData!$BK$8),"",ReferenceData!$BK$8),"")</f>
        <v>393.74200000000002</v>
      </c>
      <c r="BL8">
        <f ca="1">IFERROR(IF(0=LEN(ReferenceData!$BL$8),"",ReferenceData!$BL$8),"")</f>
        <v>356.22199999999998</v>
      </c>
      <c r="BM8">
        <f ca="1">IFERROR(IF(0=LEN(ReferenceData!$BM$8),"",ReferenceData!$BM$8),"")</f>
        <v>351.95600000000002</v>
      </c>
    </row>
    <row r="9" spans="1:65">
      <c r="A9" t="str">
        <f>IFERROR(IF(0=LEN(ReferenceData!$A$9),"",ReferenceData!$A$9),"")</f>
        <v xml:space="preserve">    工业房地产投资信托总收购</v>
      </c>
      <c r="B9" t="str">
        <f>IFERROR(IF(0=LEN(ReferenceData!$B$9),"",ReferenceData!$B$9),"")</f>
        <v>RECFTAIN Index</v>
      </c>
      <c r="C9" t="str">
        <f>IFERROR(IF(0=LEN(ReferenceData!$C$9),"",ReferenceData!$C$9),"")</f>
        <v/>
      </c>
      <c r="D9" t="str">
        <f>IFERROR(IF(0=LEN(ReferenceData!$D$9),"",ReferenceData!$D$9),"")</f>
        <v/>
      </c>
      <c r="E9" t="str">
        <f>IFERROR(IF(0=LEN(ReferenceData!$E$9),"",ReferenceData!$E$9),"")</f>
        <v>Expression</v>
      </c>
      <c r="F9">
        <f ca="1">IFERROR(IF(0=LEN(ReferenceData!$F$9),"",ReferenceData!$F$9),"")</f>
        <v>1248.002</v>
      </c>
      <c r="G9">
        <f ca="1">IFERROR(IF(0=LEN(ReferenceData!$G$9),"",ReferenceData!$G$9),"")</f>
        <v>1230.4259999999999</v>
      </c>
      <c r="H9">
        <f ca="1">IFERROR(IF(0=LEN(ReferenceData!$H$9),"",ReferenceData!$H$9),"")</f>
        <v>1104.2829999999999</v>
      </c>
      <c r="I9">
        <f ca="1">IFERROR(IF(0=LEN(ReferenceData!$I$9),"",ReferenceData!$I$9),"")</f>
        <v>456.57100000000003</v>
      </c>
      <c r="J9">
        <f ca="1">IFERROR(IF(0=LEN(ReferenceData!$J$9),"",ReferenceData!$J$9),"")</f>
        <v>843.21799999999996</v>
      </c>
      <c r="K9">
        <f ca="1">IFERROR(IF(0=LEN(ReferenceData!$K$9),"",ReferenceData!$K$9),"")</f>
        <v>494.06400000000002</v>
      </c>
      <c r="L9">
        <f ca="1">IFERROR(IF(0=LEN(ReferenceData!$L$9),"",ReferenceData!$L$9),"")</f>
        <v>535.07399999999996</v>
      </c>
      <c r="M9">
        <f ca="1">IFERROR(IF(0=LEN(ReferenceData!$M$9),"",ReferenceData!$M$9),"")</f>
        <v>185.18100000000001</v>
      </c>
      <c r="N9">
        <f ca="1">IFERROR(IF(0=LEN(ReferenceData!$N$9),"",ReferenceData!$N$9),"")</f>
        <v>1103.277</v>
      </c>
      <c r="O9">
        <f ca="1">IFERROR(IF(0=LEN(ReferenceData!$O$9),"",ReferenceData!$O$9),"")</f>
        <v>721.71900000000005</v>
      </c>
      <c r="P9">
        <f ca="1">IFERROR(IF(0=LEN(ReferenceData!$P$9),"",ReferenceData!$P$9),"")</f>
        <v>6296.9939999999997</v>
      </c>
      <c r="Q9">
        <f ca="1">IFERROR(IF(0=LEN(ReferenceData!$Q$9),"",ReferenceData!$Q$9),"")</f>
        <v>612.98500000000001</v>
      </c>
      <c r="R9">
        <f ca="1">IFERROR(IF(0=LEN(ReferenceData!$R$9),"",ReferenceData!$R$9),"")</f>
        <v>917.46400000000006</v>
      </c>
      <c r="S9">
        <f ca="1">IFERROR(IF(0=LEN(ReferenceData!$S$9),"",ReferenceData!$S$9),"")</f>
        <v>1456.0509999999999</v>
      </c>
      <c r="T9">
        <f ca="1">IFERROR(IF(0=LEN(ReferenceData!$T$9),"",ReferenceData!$T$9),"")</f>
        <v>838.41200000000003</v>
      </c>
      <c r="U9">
        <f ca="1">IFERROR(IF(0=LEN(ReferenceData!$U$9),"",ReferenceData!$U$9),"")</f>
        <v>594.15499999999997</v>
      </c>
      <c r="V9">
        <f ca="1">IFERROR(IF(0=LEN(ReferenceData!$V$9),"",ReferenceData!$V$9),"")</f>
        <v>2615.4090000000001</v>
      </c>
      <c r="W9">
        <f ca="1">IFERROR(IF(0=LEN(ReferenceData!$W$9),"",ReferenceData!$W$9),"")</f>
        <v>894.61300000000006</v>
      </c>
      <c r="X9">
        <f ca="1">IFERROR(IF(0=LEN(ReferenceData!$X$9),"",ReferenceData!$X$9),"")</f>
        <v>1104.9639999999999</v>
      </c>
      <c r="Y9">
        <f ca="1">IFERROR(IF(0=LEN(ReferenceData!$Y$9),"",ReferenceData!$Y$9),"")</f>
        <v>159.01900000000001</v>
      </c>
      <c r="Z9">
        <f ca="1">IFERROR(IF(0=LEN(ReferenceData!$Z$9),"",ReferenceData!$Z$9),"")</f>
        <v>1534.7159999999999</v>
      </c>
      <c r="AA9">
        <f ca="1">IFERROR(IF(0=LEN(ReferenceData!$AA$9),"",ReferenceData!$AA$9),"")</f>
        <v>486.68700000000001</v>
      </c>
      <c r="AB9">
        <f ca="1">IFERROR(IF(0=LEN(ReferenceData!$AB$9),"",ReferenceData!$AB$9),"")</f>
        <v>476.416</v>
      </c>
      <c r="AC9">
        <f ca="1">IFERROR(IF(0=LEN(ReferenceData!$AC$9),"",ReferenceData!$AC$9),"")</f>
        <v>326.97199999999998</v>
      </c>
      <c r="AD9">
        <f ca="1">IFERROR(IF(0=LEN(ReferenceData!$AD$9),"",ReferenceData!$AD$9),"")</f>
        <v>1563.617</v>
      </c>
      <c r="AE9">
        <f ca="1">IFERROR(IF(0=LEN(ReferenceData!$AE$9),"",ReferenceData!$AE$9),"")</f>
        <v>562.05999999999995</v>
      </c>
      <c r="AF9">
        <f ca="1">IFERROR(IF(0=LEN(ReferenceData!$AF$9),"",ReferenceData!$AF$9),"")</f>
        <v>13002.709000000001</v>
      </c>
      <c r="AG9">
        <f ca="1">IFERROR(IF(0=LEN(ReferenceData!$AG$9),"",ReferenceData!$AG$9),"")</f>
        <v>348.26299999999998</v>
      </c>
      <c r="AH9">
        <f ca="1">IFERROR(IF(0=LEN(ReferenceData!$AH$9),"",ReferenceData!$AH$9),"")</f>
        <v>1161.8710000000001</v>
      </c>
      <c r="AI9">
        <f ca="1">IFERROR(IF(0=LEN(ReferenceData!$AI$9),"",ReferenceData!$AI$9),"")</f>
        <v>802.15899999999999</v>
      </c>
      <c r="AJ9">
        <f ca="1">IFERROR(IF(0=LEN(ReferenceData!$AJ$9),"",ReferenceData!$AJ$9),"")</f>
        <v>319.274</v>
      </c>
      <c r="AK9">
        <f ca="1">IFERROR(IF(0=LEN(ReferenceData!$AK$9),"",ReferenceData!$AK$9),"")</f>
        <v>155.33600000000001</v>
      </c>
      <c r="AL9">
        <f ca="1">IFERROR(IF(0=LEN(ReferenceData!$AL$9),"",ReferenceData!$AL$9),"")</f>
        <v>77.44</v>
      </c>
      <c r="AM9">
        <f ca="1">IFERROR(IF(0=LEN(ReferenceData!$AM$9),"",ReferenceData!$AM$9),"")</f>
        <v>25.663</v>
      </c>
      <c r="AN9">
        <f ca="1">IFERROR(IF(0=LEN(ReferenceData!$AN$9),"",ReferenceData!$AN$9),"")</f>
        <v>28.12</v>
      </c>
      <c r="AO9">
        <f ca="1">IFERROR(IF(0=LEN(ReferenceData!$AO$9),"",ReferenceData!$AO$9),"")</f>
        <v>0</v>
      </c>
      <c r="AP9">
        <f ca="1">IFERROR(IF(0=LEN(ReferenceData!$AP$9),"",ReferenceData!$AP$9),"")</f>
        <v>182.096</v>
      </c>
      <c r="AQ9">
        <f ca="1">IFERROR(IF(0=LEN(ReferenceData!$AQ$9),"",ReferenceData!$AQ$9),"")</f>
        <v>605.11099999999999</v>
      </c>
      <c r="AR9">
        <f ca="1">IFERROR(IF(0=LEN(ReferenceData!$AR$9),"",ReferenceData!$AR$9),"")</f>
        <v>596.31100000000004</v>
      </c>
      <c r="AS9">
        <f ca="1">IFERROR(IF(0=LEN(ReferenceData!$AS$9),"",ReferenceData!$AS$9),"")</f>
        <v>699.73800000000006</v>
      </c>
      <c r="AT9">
        <f ca="1">IFERROR(IF(0=LEN(ReferenceData!$AT$9),"",ReferenceData!$AT$9),"")</f>
        <v>1644.308</v>
      </c>
      <c r="AU9">
        <f ca="1">IFERROR(IF(0=LEN(ReferenceData!$AU$9),"",ReferenceData!$AU$9),"")</f>
        <v>3333.1419999999998</v>
      </c>
      <c r="AV9">
        <f ca="1">IFERROR(IF(0=LEN(ReferenceData!$AV$9),"",ReferenceData!$AV$9),"")</f>
        <v>1183.076</v>
      </c>
      <c r="AW9">
        <f ca="1">IFERROR(IF(0=LEN(ReferenceData!$AW$9),"",ReferenceData!$AW$9),"")</f>
        <v>1369.6179999999999</v>
      </c>
      <c r="AX9">
        <f ca="1">IFERROR(IF(0=LEN(ReferenceData!$AX$9),"",ReferenceData!$AX$9),"")</f>
        <v>979.31100000000004</v>
      </c>
      <c r="AY9">
        <f ca="1">IFERROR(IF(0=LEN(ReferenceData!$AY$9),"",ReferenceData!$AY$9),"")</f>
        <v>830.88400000000001</v>
      </c>
      <c r="AZ9">
        <f ca="1">IFERROR(IF(0=LEN(ReferenceData!$AZ$9),"",ReferenceData!$AZ$9),"")</f>
        <v>883.61699999999996</v>
      </c>
      <c r="BA9">
        <f ca="1">IFERROR(IF(0=LEN(ReferenceData!$BA$9),"",ReferenceData!$BA$9),"")</f>
        <v>1084.8789999999999</v>
      </c>
      <c r="BB9">
        <f ca="1">IFERROR(IF(0=LEN(ReferenceData!$BB$9),"",ReferenceData!$BB$9),"")</f>
        <v>1018.784</v>
      </c>
      <c r="BC9">
        <f ca="1">IFERROR(IF(0=LEN(ReferenceData!$BC$9),"",ReferenceData!$BC$9),"")</f>
        <v>4531.0510000000004</v>
      </c>
      <c r="BD9">
        <f ca="1">IFERROR(IF(0=LEN(ReferenceData!$BD$9),"",ReferenceData!$BD$9),"")</f>
        <v>760.39400000000001</v>
      </c>
      <c r="BE9">
        <f ca="1">IFERROR(IF(0=LEN(ReferenceData!$BE$9),"",ReferenceData!$BE$9),"")</f>
        <v>378.64299999999997</v>
      </c>
      <c r="BF9">
        <f ca="1">IFERROR(IF(0=LEN(ReferenceData!$BF$9),"",ReferenceData!$BF$9),"")</f>
        <v>606.60599999999999</v>
      </c>
      <c r="BG9">
        <f ca="1">IFERROR(IF(0=LEN(ReferenceData!$BG$9),"",ReferenceData!$BG$9),"")</f>
        <v>2757.7469999999998</v>
      </c>
      <c r="BH9">
        <f ca="1">IFERROR(IF(0=LEN(ReferenceData!$BH$9),"",ReferenceData!$BH$9),"")</f>
        <v>583.91499999999996</v>
      </c>
      <c r="BI9">
        <f ca="1">IFERROR(IF(0=LEN(ReferenceData!$BI$9),"",ReferenceData!$BI$9),"")</f>
        <v>497.69099999999997</v>
      </c>
      <c r="BJ9">
        <f ca="1">IFERROR(IF(0=LEN(ReferenceData!$BJ$9),"",ReferenceData!$BJ$9),"")</f>
        <v>141.202</v>
      </c>
      <c r="BK9">
        <f ca="1">IFERROR(IF(0=LEN(ReferenceData!$BK$9),"",ReferenceData!$BK$9),"")</f>
        <v>30.1</v>
      </c>
      <c r="BL9">
        <f ca="1">IFERROR(IF(0=LEN(ReferenceData!$BL$9),"",ReferenceData!$BL$9),"")</f>
        <v>110.6</v>
      </c>
      <c r="BM9">
        <f ca="1">IFERROR(IF(0=LEN(ReferenceData!$BM$9),"",ReferenceData!$BM$9),"")</f>
        <v>20.399999999999999</v>
      </c>
    </row>
    <row r="10" spans="1:65">
      <c r="A10" t="str">
        <f>IFERROR(IF(0=LEN(ReferenceData!$A$10),"",ReferenceData!$A$10),"")</f>
        <v xml:space="preserve">    工业房地产投资信托总处置</v>
      </c>
      <c r="B10" t="str">
        <f>IFERROR(IF(0=LEN(ReferenceData!$B$10),"",ReferenceData!$B$10),"")</f>
        <v>RECFDSIN Index</v>
      </c>
      <c r="C10" t="str">
        <f>IFERROR(IF(0=LEN(ReferenceData!$C$10),"",ReferenceData!$C$10),"")</f>
        <v/>
      </c>
      <c r="D10" t="str">
        <f>IFERROR(IF(0=LEN(ReferenceData!$D$10),"",ReferenceData!$D$10),"")</f>
        <v/>
      </c>
      <c r="E10" t="str">
        <f>IFERROR(IF(0=LEN(ReferenceData!$E$10),"",ReferenceData!$E$10),"")</f>
        <v>Expression</v>
      </c>
      <c r="F10">
        <f ca="1">IFERROR(IF(0=LEN(ReferenceData!$F$10),"",ReferenceData!$F$10),"")</f>
        <v>1687.569</v>
      </c>
      <c r="G10">
        <f ca="1">IFERROR(IF(0=LEN(ReferenceData!$G$10),"",ReferenceData!$G$10),"")</f>
        <v>803.17100000000005</v>
      </c>
      <c r="H10">
        <f ca="1">IFERROR(IF(0=LEN(ReferenceData!$H$10),"",ReferenceData!$H$10),"")</f>
        <v>3293.2460000000001</v>
      </c>
      <c r="I10">
        <f ca="1">IFERROR(IF(0=LEN(ReferenceData!$I$10),"",ReferenceData!$I$10),"")</f>
        <v>364.00799999999998</v>
      </c>
      <c r="J10">
        <f ca="1">IFERROR(IF(0=LEN(ReferenceData!$J$10),"",ReferenceData!$J$10),"")</f>
        <v>1878.9349999999999</v>
      </c>
      <c r="K10">
        <f ca="1">IFERROR(IF(0=LEN(ReferenceData!$K$10),"",ReferenceData!$K$10),"")</f>
        <v>917.43899999999996</v>
      </c>
      <c r="L10">
        <f ca="1">IFERROR(IF(0=LEN(ReferenceData!$L$10),"",ReferenceData!$L$10),"")</f>
        <v>1127.3520000000001</v>
      </c>
      <c r="M10">
        <f ca="1">IFERROR(IF(0=LEN(ReferenceData!$M$10),"",ReferenceData!$M$10),"")</f>
        <v>812.69500000000005</v>
      </c>
      <c r="N10">
        <f ca="1">IFERROR(IF(0=LEN(ReferenceData!$N$10),"",ReferenceData!$N$10),"")</f>
        <v>1502.346</v>
      </c>
      <c r="O10">
        <f ca="1">IFERROR(IF(0=LEN(ReferenceData!$O$10),"",ReferenceData!$O$10),"")</f>
        <v>980.95799999999997</v>
      </c>
      <c r="P10">
        <f ca="1">IFERROR(IF(0=LEN(ReferenceData!$P$10),"",ReferenceData!$P$10),"")</f>
        <v>1807.7750000000001</v>
      </c>
      <c r="Q10">
        <f ca="1">IFERROR(IF(0=LEN(ReferenceData!$Q$10),"",ReferenceData!$Q$10),"")</f>
        <v>824.19500000000005</v>
      </c>
      <c r="R10">
        <f ca="1">IFERROR(IF(0=LEN(ReferenceData!$R$10),"",ReferenceData!$R$10),"")</f>
        <v>1397.99</v>
      </c>
      <c r="S10">
        <f ca="1">IFERROR(IF(0=LEN(ReferenceData!$S$10),"",ReferenceData!$S$10),"")</f>
        <v>721.43299999999999</v>
      </c>
      <c r="T10">
        <f ca="1">IFERROR(IF(0=LEN(ReferenceData!$T$10),"",ReferenceData!$T$10),"")</f>
        <v>996.07399999999996</v>
      </c>
      <c r="U10">
        <f ca="1">IFERROR(IF(0=LEN(ReferenceData!$U$10),"",ReferenceData!$U$10),"")</f>
        <v>565.15200000000004</v>
      </c>
      <c r="V10">
        <f ca="1">IFERROR(IF(0=LEN(ReferenceData!$V$10),"",ReferenceData!$V$10),"")</f>
        <v>1480.3689999999999</v>
      </c>
      <c r="W10">
        <f ca="1">IFERROR(IF(0=LEN(ReferenceData!$W$10),"",ReferenceData!$W$10),"")</f>
        <v>665.17200000000003</v>
      </c>
      <c r="X10">
        <f ca="1">IFERROR(IF(0=LEN(ReferenceData!$X$10),"",ReferenceData!$X$10),"")</f>
        <v>797.47</v>
      </c>
      <c r="Y10">
        <f ca="1">IFERROR(IF(0=LEN(ReferenceData!$Y$10),"",ReferenceData!$Y$10),"")</f>
        <v>508.904</v>
      </c>
      <c r="Z10">
        <f ca="1">IFERROR(IF(0=LEN(ReferenceData!$Z$10),"",ReferenceData!$Z$10),"")</f>
        <v>1033.579</v>
      </c>
      <c r="AA10">
        <f ca="1">IFERROR(IF(0=LEN(ReferenceData!$AA$10),"",ReferenceData!$AA$10),"")</f>
        <v>234.131</v>
      </c>
      <c r="AB10">
        <f ca="1">IFERROR(IF(0=LEN(ReferenceData!$AB$10),"",ReferenceData!$AB$10),"")</f>
        <v>450.608</v>
      </c>
      <c r="AC10">
        <f ca="1">IFERROR(IF(0=LEN(ReferenceData!$AC$10),"",ReferenceData!$AC$10),"")</f>
        <v>1059.0889999999999</v>
      </c>
      <c r="AD10">
        <f ca="1">IFERROR(IF(0=LEN(ReferenceData!$AD$10),"",ReferenceData!$AD$10),"")</f>
        <v>1593.972</v>
      </c>
      <c r="AE10">
        <f ca="1">IFERROR(IF(0=LEN(ReferenceData!$AE$10),"",ReferenceData!$AE$10),"")</f>
        <v>389.565</v>
      </c>
      <c r="AF10">
        <f ca="1">IFERROR(IF(0=LEN(ReferenceData!$AF$10),"",ReferenceData!$AF$10),"")</f>
        <v>473.12200000000001</v>
      </c>
      <c r="AG10">
        <f ca="1">IFERROR(IF(0=LEN(ReferenceData!$AG$10),"",ReferenceData!$AG$10),"")</f>
        <v>943.60400000000004</v>
      </c>
      <c r="AH10">
        <f ca="1">IFERROR(IF(0=LEN(ReferenceData!$AH$10),"",ReferenceData!$AH$10),"")</f>
        <v>1476.59</v>
      </c>
      <c r="AI10">
        <f ca="1">IFERROR(IF(0=LEN(ReferenceData!$AI$10),"",ReferenceData!$AI$10),"")</f>
        <v>443.41399999999999</v>
      </c>
      <c r="AJ10">
        <f ca="1">IFERROR(IF(0=LEN(ReferenceData!$AJ$10),"",ReferenceData!$AJ$10),"")</f>
        <v>146.49100000000001</v>
      </c>
      <c r="AK10">
        <f ca="1">IFERROR(IF(0=LEN(ReferenceData!$AK$10),"",ReferenceData!$AK$10),"")</f>
        <v>276.76</v>
      </c>
      <c r="AL10">
        <f ca="1">IFERROR(IF(0=LEN(ReferenceData!$AL$10),"",ReferenceData!$AL$10),"")</f>
        <v>620.74599999999998</v>
      </c>
      <c r="AM10">
        <f ca="1">IFERROR(IF(0=LEN(ReferenceData!$AM$10),"",ReferenceData!$AM$10),"")</f>
        <v>338.55599999999998</v>
      </c>
      <c r="AN10">
        <f ca="1">IFERROR(IF(0=LEN(ReferenceData!$AN$10),"",ReferenceData!$AN$10),"")</f>
        <v>1039.9760000000001</v>
      </c>
      <c r="AO10">
        <f ca="1">IFERROR(IF(0=LEN(ReferenceData!$AO$10),"",ReferenceData!$AO$10),"")</f>
        <v>1646.4939999999999</v>
      </c>
      <c r="AP10">
        <f ca="1">IFERROR(IF(0=LEN(ReferenceData!$AP$10),"",ReferenceData!$AP$10),"")</f>
        <v>1524.308</v>
      </c>
      <c r="AQ10">
        <f ca="1">IFERROR(IF(0=LEN(ReferenceData!$AQ$10),"",ReferenceData!$AQ$10),"")</f>
        <v>1191.845</v>
      </c>
      <c r="AR10">
        <f ca="1">IFERROR(IF(0=LEN(ReferenceData!$AR$10),"",ReferenceData!$AR$10),"")</f>
        <v>1882.229</v>
      </c>
      <c r="AS10">
        <f ca="1">IFERROR(IF(0=LEN(ReferenceData!$AS$10),"",ReferenceData!$AS$10),"")</f>
        <v>1823.9970000000001</v>
      </c>
      <c r="AT10">
        <f ca="1">IFERROR(IF(0=LEN(ReferenceData!$AT$10),"",ReferenceData!$AT$10),"")</f>
        <v>1320.9369999999999</v>
      </c>
      <c r="AU10">
        <f ca="1">IFERROR(IF(0=LEN(ReferenceData!$AU$10),"",ReferenceData!$AU$10),"")</f>
        <v>4571.308</v>
      </c>
      <c r="AV10">
        <f ca="1">IFERROR(IF(0=LEN(ReferenceData!$AV$10),"",ReferenceData!$AV$10),"")</f>
        <v>2154.3240000000001</v>
      </c>
      <c r="AW10">
        <f ca="1">IFERROR(IF(0=LEN(ReferenceData!$AW$10),"",ReferenceData!$AW$10),"")</f>
        <v>1529.38</v>
      </c>
      <c r="AX10">
        <f ca="1">IFERROR(IF(0=LEN(ReferenceData!$AX$10),"",ReferenceData!$AX$10),"")</f>
        <v>1271.8889999999999</v>
      </c>
      <c r="AY10">
        <f ca="1">IFERROR(IF(0=LEN(ReferenceData!$AY$10),"",ReferenceData!$AY$10),"")</f>
        <v>935.16300000000001</v>
      </c>
      <c r="AZ10">
        <f ca="1">IFERROR(IF(0=LEN(ReferenceData!$AZ$10),"",ReferenceData!$AZ$10),"")</f>
        <v>1056.9090000000001</v>
      </c>
      <c r="BA10">
        <f ca="1">IFERROR(IF(0=LEN(ReferenceData!$BA$10),"",ReferenceData!$BA$10),"")</f>
        <v>1042.473</v>
      </c>
      <c r="BB10">
        <f ca="1">IFERROR(IF(0=LEN(ReferenceData!$BB$10),"",ReferenceData!$BB$10),"")</f>
        <v>1438.579</v>
      </c>
      <c r="BC10">
        <f ca="1">IFERROR(IF(0=LEN(ReferenceData!$BC$10),"",ReferenceData!$BC$10),"")</f>
        <v>2081.627</v>
      </c>
      <c r="BD10">
        <f ca="1">IFERROR(IF(0=LEN(ReferenceData!$BD$10),"",ReferenceData!$BD$10),"")</f>
        <v>833.96600000000001</v>
      </c>
      <c r="BE10">
        <f ca="1">IFERROR(IF(0=LEN(ReferenceData!$BE$10),"",ReferenceData!$BE$10),"")</f>
        <v>761.87199999999996</v>
      </c>
      <c r="BF10">
        <f ca="1">IFERROR(IF(0=LEN(ReferenceData!$BF$10),"",ReferenceData!$BF$10),"")</f>
        <v>506.137</v>
      </c>
      <c r="BG10">
        <f ca="1">IFERROR(IF(0=LEN(ReferenceData!$BG$10),"",ReferenceData!$BG$10),"")</f>
        <v>362.64699999999999</v>
      </c>
      <c r="BH10">
        <f ca="1">IFERROR(IF(0=LEN(ReferenceData!$BH$10),"",ReferenceData!$BH$10),"")</f>
        <v>146.773</v>
      </c>
      <c r="BI10">
        <f ca="1">IFERROR(IF(0=LEN(ReferenceData!$BI$10),"",ReferenceData!$BI$10),"")</f>
        <v>165.58500000000001</v>
      </c>
      <c r="BJ10">
        <f ca="1">IFERROR(IF(0=LEN(ReferenceData!$BJ$10),"",ReferenceData!$BJ$10),"")</f>
        <v>105.9</v>
      </c>
      <c r="BK10">
        <f ca="1">IFERROR(IF(0=LEN(ReferenceData!$BK$10),"",ReferenceData!$BK$10),"")</f>
        <v>138.1</v>
      </c>
      <c r="BL10">
        <f ca="1">IFERROR(IF(0=LEN(ReferenceData!$BL$10),"",ReferenceData!$BL$10),"")</f>
        <v>74.5</v>
      </c>
      <c r="BM10">
        <f ca="1">IFERROR(IF(0=LEN(ReferenceData!$BM$10),"",ReferenceData!$BM$10),"")</f>
        <v>64.400000000000006</v>
      </c>
    </row>
    <row r="11" spans="1:65">
      <c r="A11" t="str">
        <f>IFERROR(IF(0=LEN(ReferenceData!$A$11),"",ReferenceData!$A$11),"")</f>
        <v xml:space="preserve">    工业房地产投资信托净收购</v>
      </c>
      <c r="B11" t="str">
        <f>IFERROR(IF(0=LEN(ReferenceData!$B$11),"",ReferenceData!$B$11),"")</f>
        <v>RECFNAIN Index</v>
      </c>
      <c r="C11" t="str">
        <f>IFERROR(IF(0=LEN(ReferenceData!$C$11),"",ReferenceData!$C$11),"")</f>
        <v/>
      </c>
      <c r="D11" t="str">
        <f>IFERROR(IF(0=LEN(ReferenceData!$D$11),"",ReferenceData!$D$11),"")</f>
        <v/>
      </c>
      <c r="E11" t="str">
        <f>IFERROR(IF(0=LEN(ReferenceData!$E$11),"",ReferenceData!$E$11),"")</f>
        <v>Expression</v>
      </c>
      <c r="F11">
        <f ca="1">IFERROR(IF(0=LEN(ReferenceData!$F$11),"",ReferenceData!$F$11),"")</f>
        <v>-439.56700000000001</v>
      </c>
      <c r="G11">
        <f ca="1">IFERROR(IF(0=LEN(ReferenceData!$G$11),"",ReferenceData!$G$11),"")</f>
        <v>427.255</v>
      </c>
      <c r="H11">
        <f ca="1">IFERROR(IF(0=LEN(ReferenceData!$H$11),"",ReferenceData!$H$11),"")</f>
        <v>-2188.9630000000002</v>
      </c>
      <c r="I11">
        <f ca="1">IFERROR(IF(0=LEN(ReferenceData!$I$11),"",ReferenceData!$I$11),"")</f>
        <v>92.563000000000002</v>
      </c>
      <c r="J11">
        <f ca="1">IFERROR(IF(0=LEN(ReferenceData!$J$11),"",ReferenceData!$J$11),"")</f>
        <v>-1035.7170000000001</v>
      </c>
      <c r="K11">
        <f ca="1">IFERROR(IF(0=LEN(ReferenceData!$K$11),"",ReferenceData!$K$11),"")</f>
        <v>-423.375</v>
      </c>
      <c r="L11">
        <f ca="1">IFERROR(IF(0=LEN(ReferenceData!$L$11),"",ReferenceData!$L$11),"")</f>
        <v>-592.27800000000002</v>
      </c>
      <c r="M11">
        <f ca="1">IFERROR(IF(0=LEN(ReferenceData!$M$11),"",ReferenceData!$M$11),"")</f>
        <v>-627.51400000000001</v>
      </c>
      <c r="N11">
        <f ca="1">IFERROR(IF(0=LEN(ReferenceData!$N$11),"",ReferenceData!$N$11),"")</f>
        <v>-399.06900000000002</v>
      </c>
      <c r="O11">
        <f ca="1">IFERROR(IF(0=LEN(ReferenceData!$O$11),"",ReferenceData!$O$11),"")</f>
        <v>-259.23899999999998</v>
      </c>
      <c r="P11">
        <f ca="1">IFERROR(IF(0=LEN(ReferenceData!$P$11),"",ReferenceData!$P$11),"")</f>
        <v>4489.2190000000001</v>
      </c>
      <c r="Q11">
        <f ca="1">IFERROR(IF(0=LEN(ReferenceData!$Q$11),"",ReferenceData!$Q$11),"")</f>
        <v>-211.21</v>
      </c>
      <c r="R11">
        <f ca="1">IFERROR(IF(0=LEN(ReferenceData!$R$11),"",ReferenceData!$R$11),"")</f>
        <v>-480.52600000000001</v>
      </c>
      <c r="S11">
        <f ca="1">IFERROR(IF(0=LEN(ReferenceData!$S$11),"",ReferenceData!$S$11),"")</f>
        <v>734.61800000000005</v>
      </c>
      <c r="T11">
        <f ca="1">IFERROR(IF(0=LEN(ReferenceData!$T$11),"",ReferenceData!$T$11),"")</f>
        <v>-157.66200000000001</v>
      </c>
      <c r="U11">
        <f ca="1">IFERROR(IF(0=LEN(ReferenceData!$U$11),"",ReferenceData!$U$11),"")</f>
        <v>29.003</v>
      </c>
      <c r="V11">
        <f ca="1">IFERROR(IF(0=LEN(ReferenceData!$V$11),"",ReferenceData!$V$11),"")</f>
        <v>1135.04</v>
      </c>
      <c r="W11">
        <f ca="1">IFERROR(IF(0=LEN(ReferenceData!$W$11),"",ReferenceData!$W$11),"")</f>
        <v>229.441</v>
      </c>
      <c r="X11">
        <f ca="1">IFERROR(IF(0=LEN(ReferenceData!$X$11),"",ReferenceData!$X$11),"")</f>
        <v>307.49400000000003</v>
      </c>
      <c r="Y11">
        <f ca="1">IFERROR(IF(0=LEN(ReferenceData!$Y$11),"",ReferenceData!$Y$11),"")</f>
        <v>-349.88499999999999</v>
      </c>
      <c r="Z11">
        <f ca="1">IFERROR(IF(0=LEN(ReferenceData!$Z$11),"",ReferenceData!$Z$11),"")</f>
        <v>501.137</v>
      </c>
      <c r="AA11">
        <f ca="1">IFERROR(IF(0=LEN(ReferenceData!$AA$11),"",ReferenceData!$AA$11),"")</f>
        <v>252.55600000000001</v>
      </c>
      <c r="AB11">
        <f ca="1">IFERROR(IF(0=LEN(ReferenceData!$AB$11),"",ReferenceData!$AB$11),"")</f>
        <v>25.808</v>
      </c>
      <c r="AC11">
        <f ca="1">IFERROR(IF(0=LEN(ReferenceData!$AC$11),"",ReferenceData!$AC$11),"")</f>
        <v>-732.11699999999996</v>
      </c>
      <c r="AD11">
        <f ca="1">IFERROR(IF(0=LEN(ReferenceData!$AD$11),"",ReferenceData!$AD$11),"")</f>
        <v>-30.355</v>
      </c>
      <c r="AE11">
        <f ca="1">IFERROR(IF(0=LEN(ReferenceData!$AE$11),"",ReferenceData!$AE$11),"")</f>
        <v>172.495</v>
      </c>
      <c r="AF11">
        <f ca="1">IFERROR(IF(0=LEN(ReferenceData!$AF$11),"",ReferenceData!$AF$11),"")</f>
        <v>12529.587</v>
      </c>
      <c r="AG11">
        <f ca="1">IFERROR(IF(0=LEN(ReferenceData!$AG$11),"",ReferenceData!$AG$11),"")</f>
        <v>-595.34100000000001</v>
      </c>
      <c r="AH11">
        <f ca="1">IFERROR(IF(0=LEN(ReferenceData!$AH$11),"",ReferenceData!$AH$11),"")</f>
        <v>-314.71899999999999</v>
      </c>
      <c r="AI11">
        <f ca="1">IFERROR(IF(0=LEN(ReferenceData!$AI$11),"",ReferenceData!$AI$11),"")</f>
        <v>358.745</v>
      </c>
      <c r="AJ11">
        <f ca="1">IFERROR(IF(0=LEN(ReferenceData!$AJ$11),"",ReferenceData!$AJ$11),"")</f>
        <v>172.78299999999999</v>
      </c>
      <c r="AK11">
        <f ca="1">IFERROR(IF(0=LEN(ReferenceData!$AK$11),"",ReferenceData!$AK$11),"")</f>
        <v>-121.42400000000001</v>
      </c>
      <c r="AL11">
        <f ca="1">IFERROR(IF(0=LEN(ReferenceData!$AL$11),"",ReferenceData!$AL$11),"")</f>
        <v>-543.30600000000004</v>
      </c>
      <c r="AM11">
        <f ca="1">IFERROR(IF(0=LEN(ReferenceData!$AM$11),"",ReferenceData!$AM$11),"")</f>
        <v>-312.89299999999997</v>
      </c>
      <c r="AN11">
        <f ca="1">IFERROR(IF(0=LEN(ReferenceData!$AN$11),"",ReferenceData!$AN$11),"")</f>
        <v>-1011.856</v>
      </c>
      <c r="AO11">
        <f ca="1">IFERROR(IF(0=LEN(ReferenceData!$AO$11),"",ReferenceData!$AO$11),"")</f>
        <v>-1646.4939999999999</v>
      </c>
      <c r="AP11">
        <f ca="1">IFERROR(IF(0=LEN(ReferenceData!$AP$11),"",ReferenceData!$AP$11),"")</f>
        <v>-1342.212</v>
      </c>
      <c r="AQ11">
        <f ca="1">IFERROR(IF(0=LEN(ReferenceData!$AQ$11),"",ReferenceData!$AQ$11),"")</f>
        <v>-586.73400000000004</v>
      </c>
      <c r="AR11">
        <f ca="1">IFERROR(IF(0=LEN(ReferenceData!$AR$11),"",ReferenceData!$AR$11),"")</f>
        <v>-1285.9179999999999</v>
      </c>
      <c r="AS11">
        <f ca="1">IFERROR(IF(0=LEN(ReferenceData!$AS$11),"",ReferenceData!$AS$11),"")</f>
        <v>-1124.259</v>
      </c>
      <c r="AT11">
        <f ca="1">IFERROR(IF(0=LEN(ReferenceData!$AT$11),"",ReferenceData!$AT$11),"")</f>
        <v>323.37099999999998</v>
      </c>
      <c r="AU11">
        <f ca="1">IFERROR(IF(0=LEN(ReferenceData!$AU$11),"",ReferenceData!$AU$11),"")</f>
        <v>-1238.1659999999999</v>
      </c>
      <c r="AV11">
        <f ca="1">IFERROR(IF(0=LEN(ReferenceData!$AV$11),"",ReferenceData!$AV$11),"")</f>
        <v>-971.24800000000005</v>
      </c>
      <c r="AW11">
        <f ca="1">IFERROR(IF(0=LEN(ReferenceData!$AW$11),"",ReferenceData!$AW$11),"")</f>
        <v>-159.762</v>
      </c>
      <c r="AX11">
        <f ca="1">IFERROR(IF(0=LEN(ReferenceData!$AX$11),"",ReferenceData!$AX$11),"")</f>
        <v>-292.57799999999997</v>
      </c>
      <c r="AY11">
        <f ca="1">IFERROR(IF(0=LEN(ReferenceData!$AY$11),"",ReferenceData!$AY$11),"")</f>
        <v>-104.279</v>
      </c>
      <c r="AZ11">
        <f ca="1">IFERROR(IF(0=LEN(ReferenceData!$AZ$11),"",ReferenceData!$AZ$11),"")</f>
        <v>-173.292</v>
      </c>
      <c r="BA11">
        <f ca="1">IFERROR(IF(0=LEN(ReferenceData!$BA$11),"",ReferenceData!$BA$11),"")</f>
        <v>42.405999999999999</v>
      </c>
      <c r="BB11">
        <f ca="1">IFERROR(IF(0=LEN(ReferenceData!$BB$11),"",ReferenceData!$BB$11),"")</f>
        <v>-419.79500000000002</v>
      </c>
      <c r="BC11">
        <f ca="1">IFERROR(IF(0=LEN(ReferenceData!$BC$11),"",ReferenceData!$BC$11),"")</f>
        <v>2449.424</v>
      </c>
      <c r="BD11">
        <f ca="1">IFERROR(IF(0=LEN(ReferenceData!$BD$11),"",ReferenceData!$BD$11),"")</f>
        <v>-73.572000000000003</v>
      </c>
      <c r="BE11">
        <f ca="1">IFERROR(IF(0=LEN(ReferenceData!$BE$11),"",ReferenceData!$BE$11),"")</f>
        <v>-383.22899999999998</v>
      </c>
      <c r="BF11">
        <f ca="1">IFERROR(IF(0=LEN(ReferenceData!$BF$11),"",ReferenceData!$BF$11),"")</f>
        <v>100.46899999999999</v>
      </c>
      <c r="BG11">
        <f ca="1">IFERROR(IF(0=LEN(ReferenceData!$BG$11),"",ReferenceData!$BG$11),"")</f>
        <v>2395.1</v>
      </c>
      <c r="BH11">
        <f ca="1">IFERROR(IF(0=LEN(ReferenceData!$BH$11),"",ReferenceData!$BH$11),"")</f>
        <v>437.142</v>
      </c>
      <c r="BI11">
        <f ca="1">IFERROR(IF(0=LEN(ReferenceData!$BI$11),"",ReferenceData!$BI$11),"")</f>
        <v>332.10599999999999</v>
      </c>
      <c r="BJ11">
        <f ca="1">IFERROR(IF(0=LEN(ReferenceData!$BJ$11),"",ReferenceData!$BJ$11),"")</f>
        <v>35.302</v>
      </c>
      <c r="BK11">
        <f ca="1">IFERROR(IF(0=LEN(ReferenceData!$BK$11),"",ReferenceData!$BK$11),"")</f>
        <v>-108</v>
      </c>
      <c r="BL11">
        <f ca="1">IFERROR(IF(0=LEN(ReferenceData!$BL$11),"",ReferenceData!$BL$11),"")</f>
        <v>36.1</v>
      </c>
      <c r="BM11">
        <f ca="1">IFERROR(IF(0=LEN(ReferenceData!$BM$11),"",ReferenceData!$BM$11),"")</f>
        <v>-44</v>
      </c>
    </row>
    <row r="12" spans="1:65">
      <c r="A12" t="str">
        <f>IFERROR(IF(0=LEN(ReferenceData!$A$12),"",ReferenceData!$A$12),"")</f>
        <v xml:space="preserve">    工业房地产投资信托总开发渠道</v>
      </c>
      <c r="B12" t="str">
        <f>IFERROR(IF(0=LEN(ReferenceData!$B$12),"",ReferenceData!$B$12),"")</f>
        <v>RECFDVIN Index</v>
      </c>
      <c r="C12" t="str">
        <f>IFERROR(IF(0=LEN(ReferenceData!$C$12),"",ReferenceData!$C$12),"")</f>
        <v>PR005</v>
      </c>
      <c r="D12" t="str">
        <f>IFERROR(IF(0=LEN(ReferenceData!$D$12),"",ReferenceData!$D$12),"")</f>
        <v>PX_LAST</v>
      </c>
      <c r="E12" t="str">
        <f>IFERROR(IF(0=LEN(ReferenceData!$E$12),"",ReferenceData!$E$12),"")</f>
        <v>动态</v>
      </c>
      <c r="F12">
        <f ca="1">IFERROR(IF(0=LEN(ReferenceData!$F$12),"",ReferenceData!$F$12),"")</f>
        <v>6557.3559999999998</v>
      </c>
      <c r="G12">
        <f ca="1">IFERROR(IF(0=LEN(ReferenceData!$G$12),"",ReferenceData!$G$12),"")</f>
        <v>6655.0969999999998</v>
      </c>
      <c r="H12">
        <f ca="1">IFERROR(IF(0=LEN(ReferenceData!$H$12),"",ReferenceData!$H$12),"")</f>
        <v>6686.6620000000003</v>
      </c>
      <c r="I12">
        <f ca="1">IFERROR(IF(0=LEN(ReferenceData!$I$12),"",ReferenceData!$I$12),"")</f>
        <v>6306.3860000000004</v>
      </c>
      <c r="J12">
        <f ca="1">IFERROR(IF(0=LEN(ReferenceData!$J$12),"",ReferenceData!$J$12),"")</f>
        <v>6225.6019999999999</v>
      </c>
      <c r="K12">
        <f ca="1">IFERROR(IF(0=LEN(ReferenceData!$K$12),"",ReferenceData!$K$12),"")</f>
        <v>6107.5460000000003</v>
      </c>
      <c r="L12">
        <f ca="1">IFERROR(IF(0=LEN(ReferenceData!$L$12),"",ReferenceData!$L$12),"")</f>
        <v>5939.6980000000003</v>
      </c>
      <c r="M12">
        <f ca="1">IFERROR(IF(0=LEN(ReferenceData!$M$12),"",ReferenceData!$M$12),"")</f>
        <v>6456.6049999999996</v>
      </c>
      <c r="N12">
        <f ca="1">IFERROR(IF(0=LEN(ReferenceData!$N$12),"",ReferenceData!$N$12),"")</f>
        <v>6732.7190000000001</v>
      </c>
      <c r="O12">
        <f ca="1">IFERROR(IF(0=LEN(ReferenceData!$O$12),"",ReferenceData!$O$12),"")</f>
        <v>6427.3729999999996</v>
      </c>
      <c r="P12">
        <f ca="1">IFERROR(IF(0=LEN(ReferenceData!$P$12),"",ReferenceData!$P$12),"")</f>
        <v>6096.6189999999997</v>
      </c>
      <c r="Q12">
        <f ca="1">IFERROR(IF(0=LEN(ReferenceData!$Q$12),"",ReferenceData!$Q$12),"")</f>
        <v>5313.116</v>
      </c>
      <c r="R12">
        <f ca="1">IFERROR(IF(0=LEN(ReferenceData!$R$12),"",ReferenceData!$R$12),"")</f>
        <v>5561.7659999999996</v>
      </c>
      <c r="S12">
        <f ca="1">IFERROR(IF(0=LEN(ReferenceData!$S$12),"",ReferenceData!$S$12),"")</f>
        <v>5283.9690000000001</v>
      </c>
      <c r="T12">
        <f ca="1">IFERROR(IF(0=LEN(ReferenceData!$T$12),"",ReferenceData!$T$12),"")</f>
        <v>4049.527</v>
      </c>
      <c r="U12">
        <f ca="1">IFERROR(IF(0=LEN(ReferenceData!$U$12),"",ReferenceData!$U$12),"")</f>
        <v>3765.3359999999998</v>
      </c>
      <c r="V12">
        <f ca="1">IFERROR(IF(0=LEN(ReferenceData!$V$12),"",ReferenceData!$V$12),"")</f>
        <v>3380.65</v>
      </c>
      <c r="W12">
        <f ca="1">IFERROR(IF(0=LEN(ReferenceData!$W$12),"",ReferenceData!$W$12),"")</f>
        <v>2952.922</v>
      </c>
      <c r="X12">
        <f ca="1">IFERROR(IF(0=LEN(ReferenceData!$X$12),"",ReferenceData!$X$12),"")</f>
        <v>3117.4430000000002</v>
      </c>
      <c r="Y12">
        <f ca="1">IFERROR(IF(0=LEN(ReferenceData!$Y$12),"",ReferenceData!$Y$12),"")</f>
        <v>3013.1770000000001</v>
      </c>
      <c r="Z12">
        <f ca="1">IFERROR(IF(0=LEN(ReferenceData!$Z$12),"",ReferenceData!$Z$12),"")</f>
        <v>2725.95</v>
      </c>
      <c r="AA12">
        <f ca="1">IFERROR(IF(0=LEN(ReferenceData!$AA$12),"",ReferenceData!$AA$12),"")</f>
        <v>1994.097</v>
      </c>
      <c r="AB12">
        <f ca="1">IFERROR(IF(0=LEN(ReferenceData!$AB$12),"",ReferenceData!$AB$12),"")</f>
        <v>1860.375</v>
      </c>
      <c r="AC12">
        <f ca="1">IFERROR(IF(0=LEN(ReferenceData!$AC$12),"",ReferenceData!$AC$12),"")</f>
        <v>1740.682</v>
      </c>
      <c r="AD12">
        <f ca="1">IFERROR(IF(0=LEN(ReferenceData!$AD$12),"",ReferenceData!$AD$12),"")</f>
        <v>1722.069</v>
      </c>
      <c r="AE12">
        <f ca="1">IFERROR(IF(0=LEN(ReferenceData!$AE$12),"",ReferenceData!$AE$12),"")</f>
        <v>1470.412</v>
      </c>
      <c r="AF12">
        <f ca="1">IFERROR(IF(0=LEN(ReferenceData!$AF$12),"",ReferenceData!$AF$12),"")</f>
        <v>1457.7059999999999</v>
      </c>
      <c r="AG12">
        <f ca="1">IFERROR(IF(0=LEN(ReferenceData!$AG$12),"",ReferenceData!$AG$12),"")</f>
        <v>1395.634</v>
      </c>
      <c r="AH12">
        <f ca="1">IFERROR(IF(0=LEN(ReferenceData!$AH$12),"",ReferenceData!$AH$12),"")</f>
        <v>1439.5150000000001</v>
      </c>
      <c r="AI12">
        <f ca="1">IFERROR(IF(0=LEN(ReferenceData!$AI$12),"",ReferenceData!$AI$12),"")</f>
        <v>1377.9159999999999</v>
      </c>
      <c r="AJ12">
        <f ca="1">IFERROR(IF(0=LEN(ReferenceData!$AJ$12),"",ReferenceData!$AJ$12),"")</f>
        <v>1766.1510000000001</v>
      </c>
      <c r="AK12">
        <f ca="1">IFERROR(IF(0=LEN(ReferenceData!$AK$12),"",ReferenceData!$AK$12),"")</f>
        <v>2028.441</v>
      </c>
      <c r="AL12">
        <f ca="1">IFERROR(IF(0=LEN(ReferenceData!$AL$12),"",ReferenceData!$AL$12),"")</f>
        <v>1901.0340000000001</v>
      </c>
      <c r="AM12">
        <f ca="1">IFERROR(IF(0=LEN(ReferenceData!$AM$12),"",ReferenceData!$AM$12),"")</f>
        <v>2752.1370000000002</v>
      </c>
      <c r="AN12">
        <f ca="1">IFERROR(IF(0=LEN(ReferenceData!$AN$12),"",ReferenceData!$AN$12),"")</f>
        <v>3034.6469999999999</v>
      </c>
      <c r="AO12">
        <f ca="1">IFERROR(IF(0=LEN(ReferenceData!$AO$12),"",ReferenceData!$AO$12),"")</f>
        <v>4295.8130000000001</v>
      </c>
      <c r="AP12">
        <f ca="1">IFERROR(IF(0=LEN(ReferenceData!$AP$12),"",ReferenceData!$AP$12),"")</f>
        <v>5459.78</v>
      </c>
      <c r="AQ12">
        <f ca="1">IFERROR(IF(0=LEN(ReferenceData!$AQ$12),"",ReferenceData!$AQ$12),"")</f>
        <v>8020.8220000000001</v>
      </c>
      <c r="AR12">
        <f ca="1">IFERROR(IF(0=LEN(ReferenceData!$AR$12),"",ReferenceData!$AR$12),"")</f>
        <v>8965.1149999999998</v>
      </c>
      <c r="AS12">
        <f ca="1">IFERROR(IF(0=LEN(ReferenceData!$AS$12),"",ReferenceData!$AS$12),"")</f>
        <v>9109.0040000000008</v>
      </c>
      <c r="AT12">
        <f ca="1">IFERROR(IF(0=LEN(ReferenceData!$AT$12),"",ReferenceData!$AT$12),"")</f>
        <v>8918.3449999999993</v>
      </c>
      <c r="AU12">
        <f ca="1">IFERROR(IF(0=LEN(ReferenceData!$AU$12),"",ReferenceData!$AU$12),"")</f>
        <v>7529.4179999999997</v>
      </c>
      <c r="AV12">
        <f ca="1">IFERROR(IF(0=LEN(ReferenceData!$AV$12),"",ReferenceData!$AV$12),"")</f>
        <v>6814.6620000000003</v>
      </c>
      <c r="AW12">
        <f ca="1">IFERROR(IF(0=LEN(ReferenceData!$AW$12),"",ReferenceData!$AW$12),"")</f>
        <v>6591.3850000000002</v>
      </c>
      <c r="AX12">
        <f ca="1">IFERROR(IF(0=LEN(ReferenceData!$AX$12),"",ReferenceData!$AX$12),"")</f>
        <v>6008.6540000000005</v>
      </c>
      <c r="AY12">
        <f ca="1">IFERROR(IF(0=LEN(ReferenceData!$AY$12),"",ReferenceData!$AY$12),"")</f>
        <v>5501.5339999999997</v>
      </c>
      <c r="AZ12">
        <f ca="1">IFERROR(IF(0=LEN(ReferenceData!$AZ$12),"",ReferenceData!$AZ$12),"")</f>
        <v>5275.7830000000004</v>
      </c>
      <c r="BA12">
        <f ca="1">IFERROR(IF(0=LEN(ReferenceData!$BA$12),"",ReferenceData!$BA$12),"")</f>
        <v>5013.076</v>
      </c>
      <c r="BB12">
        <f ca="1">IFERROR(IF(0=LEN(ReferenceData!$BB$12),"",ReferenceData!$BB$12),"")</f>
        <v>4747.1959999999999</v>
      </c>
      <c r="BC12">
        <f ca="1">IFERROR(IF(0=LEN(ReferenceData!$BC$12),"",ReferenceData!$BC$12),"")</f>
        <v>4740.951</v>
      </c>
      <c r="BD12">
        <f ca="1">IFERROR(IF(0=LEN(ReferenceData!$BD$12),"",ReferenceData!$BD$12),"")</f>
        <v>4311.692</v>
      </c>
      <c r="BE12">
        <f ca="1">IFERROR(IF(0=LEN(ReferenceData!$BE$12),"",ReferenceData!$BE$12),"")</f>
        <v>3973.9560000000001</v>
      </c>
      <c r="BF12">
        <f ca="1">IFERROR(IF(0=LEN(ReferenceData!$BF$12),"",ReferenceData!$BF$12),"")</f>
        <v>2146.7640000000001</v>
      </c>
      <c r="BG12">
        <f ca="1">IFERROR(IF(0=LEN(ReferenceData!$BG$12),"",ReferenceData!$BG$12),"")</f>
        <v>1807.2260000000001</v>
      </c>
      <c r="BH12">
        <f ca="1">IFERROR(IF(0=LEN(ReferenceData!$BH$12),"",ReferenceData!$BH$12),"")</f>
        <v>1533.8789999999999</v>
      </c>
      <c r="BI12">
        <f ca="1">IFERROR(IF(0=LEN(ReferenceData!$BI$12),"",ReferenceData!$BI$12),"")</f>
        <v>1518.5029999999999</v>
      </c>
      <c r="BJ12">
        <f ca="1">IFERROR(IF(0=LEN(ReferenceData!$BJ$12),"",ReferenceData!$BJ$12),"")</f>
        <v>1241.5239999999999</v>
      </c>
      <c r="BK12">
        <f ca="1">IFERROR(IF(0=LEN(ReferenceData!$BK$12),"",ReferenceData!$BK$12),"")</f>
        <v>811.55399999999997</v>
      </c>
      <c r="BL12">
        <f ca="1">IFERROR(IF(0=LEN(ReferenceData!$BL$12),"",ReferenceData!$BL$12),"")</f>
        <v>711.92</v>
      </c>
      <c r="BM12">
        <f ca="1">IFERROR(IF(0=LEN(ReferenceData!$BM$12),"",ReferenceData!$BM$12),"")</f>
        <v>688.33399999999995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U67"/>
  <sheetViews>
    <sheetView workbookViewId="0"/>
  </sheetViews>
  <sheetFormatPr defaultRowHeight="13.5"/>
  <cols>
    <col min="1" max="1" width="56.375" customWidth="1"/>
    <col min="2" max="2" width="15.75" customWidth="1"/>
    <col min="3" max="125" width="9.125" bestFit="1" customWidth="1"/>
  </cols>
  <sheetData>
    <row r="1" spans="1:125" ht="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</row>
    <row r="2" spans="1:125" ht="15">
      <c r="A2" s="1" t="str">
        <f>"简述"</f>
        <v>简述</v>
      </c>
      <c r="B2" s="1" t="str">
        <f>"代码"</f>
        <v>代码</v>
      </c>
      <c r="C2" s="1" t="str">
        <f>"栏目ID"</f>
        <v>栏目ID</v>
      </c>
      <c r="D2" s="1" t="str">
        <f>"栏目助记符"</f>
        <v>栏目助记符</v>
      </c>
      <c r="E2" s="1" t="str">
        <f>"数据状态"</f>
        <v>数据状态</v>
      </c>
      <c r="F2" s="1" t="str">
        <f>ReferenceData!$C$58</f>
        <v>2017 Q4</v>
      </c>
      <c r="G2" s="1" t="str">
        <f>ReferenceData!$D$58</f>
        <v>2017 Q3</v>
      </c>
      <c r="H2" s="1" t="str">
        <f>ReferenceData!$E$58</f>
        <v>2017 Q2</v>
      </c>
      <c r="I2" s="1" t="str">
        <f>ReferenceData!$F$58</f>
        <v>2017 Q1</v>
      </c>
      <c r="J2" s="1" t="str">
        <f>ReferenceData!$G$58</f>
        <v>2016 Q4</v>
      </c>
      <c r="K2" s="1" t="str">
        <f>ReferenceData!$H$58</f>
        <v>2016 Q3</v>
      </c>
      <c r="L2" s="1" t="str">
        <f>ReferenceData!$I$58</f>
        <v>2016 Q2</v>
      </c>
      <c r="M2" s="1" t="str">
        <f>ReferenceData!$J$58</f>
        <v>2016 Q1</v>
      </c>
      <c r="N2" s="1" t="str">
        <f>ReferenceData!$K$58</f>
        <v>2015 Q4</v>
      </c>
      <c r="O2" s="1" t="str">
        <f>ReferenceData!$L$58</f>
        <v>2015 Q3</v>
      </c>
      <c r="P2" s="1" t="str">
        <f>ReferenceData!$M$58</f>
        <v>2015 Q2</v>
      </c>
      <c r="Q2" s="1" t="str">
        <f>ReferenceData!$N$58</f>
        <v>2015 Q1</v>
      </c>
      <c r="R2" s="1" t="str">
        <f>ReferenceData!$O$58</f>
        <v>2014 Q4</v>
      </c>
      <c r="S2" s="1" t="str">
        <f>ReferenceData!$P$58</f>
        <v>2014 Q3</v>
      </c>
      <c r="T2" s="1" t="str">
        <f>ReferenceData!$Q$58</f>
        <v>2014 Q2</v>
      </c>
      <c r="U2" s="1" t="str">
        <f>ReferenceData!$R$58</f>
        <v>2014 Q1</v>
      </c>
      <c r="V2" s="1" t="str">
        <f>ReferenceData!$S$58</f>
        <v>2013 Q4</v>
      </c>
      <c r="W2" s="1" t="str">
        <f>ReferenceData!$T$58</f>
        <v>2013 Q3</v>
      </c>
      <c r="X2" s="1" t="str">
        <f>ReferenceData!$U$58</f>
        <v>2013 Q2</v>
      </c>
      <c r="Y2" s="1" t="str">
        <f>ReferenceData!$V$58</f>
        <v>2013 Q1</v>
      </c>
      <c r="Z2" s="1" t="str">
        <f>ReferenceData!$W$58</f>
        <v>2012 Q4</v>
      </c>
      <c r="AA2" s="1" t="str">
        <f>ReferenceData!$X$58</f>
        <v>2012 Q3</v>
      </c>
      <c r="AB2" s="1" t="str">
        <f>ReferenceData!$Y$58</f>
        <v>2012 Q2</v>
      </c>
      <c r="AC2" s="1" t="str">
        <f>ReferenceData!$Z$58</f>
        <v>2012 Q1</v>
      </c>
      <c r="AD2" s="1" t="str">
        <f>ReferenceData!$AA$58</f>
        <v>2011 Q4</v>
      </c>
      <c r="AE2" s="1" t="str">
        <f>ReferenceData!$AB$58</f>
        <v>2011 Q3</v>
      </c>
      <c r="AF2" s="1" t="str">
        <f>ReferenceData!$AC$58</f>
        <v>2011 Q2</v>
      </c>
      <c r="AG2" s="1" t="str">
        <f>ReferenceData!$AD$58</f>
        <v>2011 Q1</v>
      </c>
      <c r="AH2" s="1" t="str">
        <f>ReferenceData!$AE$58</f>
        <v>2010 Q4</v>
      </c>
      <c r="AI2" s="1" t="str">
        <f>ReferenceData!$AF$58</f>
        <v>2010 Q3</v>
      </c>
      <c r="AJ2" s="1" t="str">
        <f>ReferenceData!$AG$58</f>
        <v>2010 Q2</v>
      </c>
      <c r="AK2" s="1" t="str">
        <f>ReferenceData!$AH$58</f>
        <v>2010 Q1</v>
      </c>
      <c r="AL2" s="1" t="str">
        <f>ReferenceData!$AI$58</f>
        <v>2009 Q4</v>
      </c>
      <c r="AM2" s="1" t="str">
        <f>ReferenceData!$AJ$58</f>
        <v>2009 Q3</v>
      </c>
      <c r="AN2" s="1" t="str">
        <f>ReferenceData!$AK$58</f>
        <v>2009 Q2</v>
      </c>
      <c r="AO2" s="1" t="str">
        <f>ReferenceData!$AL$58</f>
        <v>2009 Q1</v>
      </c>
      <c r="AP2" s="1" t="str">
        <f>ReferenceData!$AM$58</f>
        <v>2008 Q4</v>
      </c>
      <c r="AQ2" s="1" t="str">
        <f>ReferenceData!$AN$58</f>
        <v>2008 Q3</v>
      </c>
      <c r="AR2" s="1" t="str">
        <f>ReferenceData!$AO$58</f>
        <v>2008 Q2</v>
      </c>
      <c r="AS2" s="1" t="str">
        <f>ReferenceData!$AP$58</f>
        <v>2008 Q1</v>
      </c>
      <c r="AT2" s="1" t="str">
        <f>ReferenceData!$AQ$58</f>
        <v>2007 Q4</v>
      </c>
      <c r="AU2" s="1" t="str">
        <f>ReferenceData!$AR$58</f>
        <v>2007 Q3</v>
      </c>
      <c r="AV2" s="1" t="str">
        <f>ReferenceData!$AS$58</f>
        <v>2007 Q2</v>
      </c>
      <c r="AW2" s="1" t="str">
        <f>ReferenceData!$AT$58</f>
        <v>2007 Q1</v>
      </c>
      <c r="AX2" s="1" t="str">
        <f>ReferenceData!$AU$58</f>
        <v>2006 Q4</v>
      </c>
      <c r="AY2" s="1" t="str">
        <f>ReferenceData!$AV$58</f>
        <v>2006 Q3</v>
      </c>
      <c r="AZ2" s="1" t="str">
        <f>ReferenceData!$AW$58</f>
        <v>2006 Q2</v>
      </c>
      <c r="BA2" s="1" t="str">
        <f>ReferenceData!$AX$58</f>
        <v>2006 Q1</v>
      </c>
      <c r="BB2" s="1" t="str">
        <f>ReferenceData!$AY$58</f>
        <v>2005 Q4</v>
      </c>
      <c r="BC2" s="1" t="str">
        <f>ReferenceData!$AZ$58</f>
        <v>2005 Q3</v>
      </c>
      <c r="BD2" s="1" t="str">
        <f>ReferenceData!$BA$58</f>
        <v>2005 Q2</v>
      </c>
      <c r="BE2" s="1" t="str">
        <f>ReferenceData!$BB$58</f>
        <v>2005 Q1</v>
      </c>
      <c r="BF2" s="1" t="str">
        <f>ReferenceData!$BC$58</f>
        <v>2004 Q4</v>
      </c>
      <c r="BG2" s="1" t="str">
        <f>ReferenceData!$BD$58</f>
        <v>2004 Q3</v>
      </c>
      <c r="BH2" s="1" t="str">
        <f>ReferenceData!$BE$58</f>
        <v>2004 Q2</v>
      </c>
      <c r="BI2" s="1" t="str">
        <f>ReferenceData!$BF$58</f>
        <v>2004 Q1</v>
      </c>
      <c r="BJ2" s="1" t="str">
        <f>ReferenceData!$BG$58</f>
        <v>2003 Q4</v>
      </c>
      <c r="BK2" s="1" t="str">
        <f>ReferenceData!$BH$58</f>
        <v>2003 Q3</v>
      </c>
      <c r="BL2" s="1" t="str">
        <f>ReferenceData!$BI$58</f>
        <v>2003 Q2</v>
      </c>
      <c r="BM2" s="1" t="str">
        <f>ReferenceData!$BJ$58</f>
        <v>2003 Q1</v>
      </c>
      <c r="BN2" t="str">
        <f>$C$58</f>
        <v>2017 Q4</v>
      </c>
      <c r="BO2" t="str">
        <f>$D$58</f>
        <v>2017 Q3</v>
      </c>
      <c r="BP2" t="str">
        <f>$E$58</f>
        <v>2017 Q2</v>
      </c>
      <c r="BQ2" t="str">
        <f>$F$58</f>
        <v>2017 Q1</v>
      </c>
      <c r="BR2" t="str">
        <f>$G$58</f>
        <v>2016 Q4</v>
      </c>
      <c r="BS2" t="str">
        <f>$H$58</f>
        <v>2016 Q3</v>
      </c>
      <c r="BT2" t="str">
        <f>$I$58</f>
        <v>2016 Q2</v>
      </c>
      <c r="BU2" t="str">
        <f>$J$58</f>
        <v>2016 Q1</v>
      </c>
      <c r="BV2" t="str">
        <f>$K$58</f>
        <v>2015 Q4</v>
      </c>
      <c r="BW2" t="str">
        <f>$L$58</f>
        <v>2015 Q3</v>
      </c>
      <c r="BX2" t="str">
        <f>$M$58</f>
        <v>2015 Q2</v>
      </c>
      <c r="BY2" t="str">
        <f>$N$58</f>
        <v>2015 Q1</v>
      </c>
      <c r="BZ2" t="str">
        <f>$O$58</f>
        <v>2014 Q4</v>
      </c>
      <c r="CA2" t="str">
        <f>$P$58</f>
        <v>2014 Q3</v>
      </c>
      <c r="CB2" t="str">
        <f>$Q$58</f>
        <v>2014 Q2</v>
      </c>
      <c r="CC2" t="str">
        <f>$R$58</f>
        <v>2014 Q1</v>
      </c>
      <c r="CD2" t="str">
        <f>$S$58</f>
        <v>2013 Q4</v>
      </c>
      <c r="CE2" t="str">
        <f>$T$58</f>
        <v>2013 Q3</v>
      </c>
      <c r="CF2" t="str">
        <f>$U$58</f>
        <v>2013 Q2</v>
      </c>
      <c r="CG2" t="str">
        <f>$V$58</f>
        <v>2013 Q1</v>
      </c>
      <c r="CH2" t="str">
        <f>$W$58</f>
        <v>2012 Q4</v>
      </c>
      <c r="CI2" t="str">
        <f>$X$58</f>
        <v>2012 Q3</v>
      </c>
      <c r="CJ2" t="str">
        <f>$Y$58</f>
        <v>2012 Q2</v>
      </c>
      <c r="CK2" t="str">
        <f>$Z$58</f>
        <v>2012 Q1</v>
      </c>
      <c r="CL2" t="str">
        <f>$AA$58</f>
        <v>2011 Q4</v>
      </c>
      <c r="CM2" t="str">
        <f>$AB$58</f>
        <v>2011 Q3</v>
      </c>
      <c r="CN2" t="str">
        <f>$AC$58</f>
        <v>2011 Q2</v>
      </c>
      <c r="CO2" t="str">
        <f>$AD$58</f>
        <v>2011 Q1</v>
      </c>
      <c r="CP2" t="str">
        <f>$AE$58</f>
        <v>2010 Q4</v>
      </c>
      <c r="CQ2" t="str">
        <f>$AF$58</f>
        <v>2010 Q3</v>
      </c>
      <c r="CR2" t="str">
        <f>$AG$58</f>
        <v>2010 Q2</v>
      </c>
      <c r="CS2" t="str">
        <f>$AH$58</f>
        <v>2010 Q1</v>
      </c>
      <c r="CT2" t="str">
        <f>$AI$58</f>
        <v>2009 Q4</v>
      </c>
      <c r="CU2" t="str">
        <f>$AJ$58</f>
        <v>2009 Q3</v>
      </c>
      <c r="CV2" t="str">
        <f>$AK$58</f>
        <v>2009 Q2</v>
      </c>
      <c r="CW2" t="str">
        <f>$AL$58</f>
        <v>2009 Q1</v>
      </c>
      <c r="CX2" t="str">
        <f>$AM$58</f>
        <v>2008 Q4</v>
      </c>
      <c r="CY2" t="str">
        <f>$AN$58</f>
        <v>2008 Q3</v>
      </c>
      <c r="CZ2" t="str">
        <f>$AO$58</f>
        <v>2008 Q2</v>
      </c>
      <c r="DA2" t="str">
        <f>$AP$58</f>
        <v>2008 Q1</v>
      </c>
      <c r="DB2" t="str">
        <f>$AQ$58</f>
        <v>2007 Q4</v>
      </c>
      <c r="DC2" t="str">
        <f>$AR$58</f>
        <v>2007 Q3</v>
      </c>
      <c r="DD2" t="str">
        <f>$AS$58</f>
        <v>2007 Q2</v>
      </c>
      <c r="DE2" t="str">
        <f>$AT$58</f>
        <v>2007 Q1</v>
      </c>
      <c r="DF2" t="str">
        <f>$AU$58</f>
        <v>2006 Q4</v>
      </c>
      <c r="DG2" t="str">
        <f>$AV$58</f>
        <v>2006 Q3</v>
      </c>
      <c r="DH2" t="str">
        <f>$AW$58</f>
        <v>2006 Q2</v>
      </c>
      <c r="DI2" t="str">
        <f>$AX$58</f>
        <v>2006 Q1</v>
      </c>
      <c r="DJ2" t="str">
        <f>$AY$58</f>
        <v>2005 Q4</v>
      </c>
      <c r="DK2" t="str">
        <f>$AZ$58</f>
        <v>2005 Q3</v>
      </c>
      <c r="DL2" t="str">
        <f>$BA$58</f>
        <v>2005 Q2</v>
      </c>
      <c r="DM2" t="str">
        <f>$BB$58</f>
        <v>2005 Q1</v>
      </c>
      <c r="DN2" t="str">
        <f>$BC$58</f>
        <v>2004 Q4</v>
      </c>
      <c r="DO2" t="str">
        <f>$BD$58</f>
        <v>2004 Q3</v>
      </c>
      <c r="DP2" t="str">
        <f>$BE$58</f>
        <v>2004 Q2</v>
      </c>
      <c r="DQ2" t="str">
        <f>$BF$58</f>
        <v>2004 Q1</v>
      </c>
      <c r="DR2" t="str">
        <f>$BG$58</f>
        <v>2003 Q4</v>
      </c>
      <c r="DS2" t="str">
        <f>$BH$58</f>
        <v>2003 Q3</v>
      </c>
      <c r="DT2" t="str">
        <f>$BI$58</f>
        <v>2003 Q2</v>
      </c>
      <c r="DU2" t="str">
        <f>$BJ$58</f>
        <v>2003 Q1</v>
      </c>
    </row>
    <row r="3" spans="1:125">
      <c r="A3" t="str">
        <f>"工业/仓储房地产投资信托数据"</f>
        <v>工业/仓储房地产投资信托数据</v>
      </c>
      <c r="B3" t="str">
        <f>""</f>
        <v/>
      </c>
      <c r="E3" t="str">
        <f>"静态"</f>
        <v>静态</v>
      </c>
      <c r="F3" t="str">
        <f t="shared" ref="F3:AK3" ca="1" si="0">HLOOKUP(INDIRECT(ADDRESS(2,COLUMN())),OFFSET($BN$2,0,0,ROW()-1,60),ROW()-1,FALSE)</f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0"/>
        <v/>
      </c>
      <c r="M3" t="str">
        <f t="shared" ca="1" si="0"/>
        <v/>
      </c>
      <c r="N3" t="str">
        <f t="shared" ca="1" si="0"/>
        <v/>
      </c>
      <c r="O3" t="str">
        <f t="shared" ca="1" si="0"/>
        <v/>
      </c>
      <c r="P3" t="str">
        <f t="shared" ca="1" si="0"/>
        <v/>
      </c>
      <c r="Q3" t="str">
        <f t="shared" ca="1" si="0"/>
        <v/>
      </c>
      <c r="R3" t="str">
        <f t="shared" ca="1" si="0"/>
        <v/>
      </c>
      <c r="S3" t="str">
        <f t="shared" ca="1" si="0"/>
        <v/>
      </c>
      <c r="T3" t="str">
        <f t="shared" ca="1" si="0"/>
        <v/>
      </c>
      <c r="U3" t="str">
        <f t="shared" ca="1" si="0"/>
        <v/>
      </c>
      <c r="V3" t="str">
        <f t="shared" ca="1" si="0"/>
        <v/>
      </c>
      <c r="W3" t="str">
        <f t="shared" ca="1" si="0"/>
        <v/>
      </c>
      <c r="X3" t="str">
        <f t="shared" ca="1" si="0"/>
        <v/>
      </c>
      <c r="Y3" t="str">
        <f t="shared" ca="1" si="0"/>
        <v/>
      </c>
      <c r="Z3" t="str">
        <f t="shared" ca="1" si="0"/>
        <v/>
      </c>
      <c r="AA3" t="str">
        <f t="shared" ca="1" si="0"/>
        <v/>
      </c>
      <c r="AB3" t="str">
        <f t="shared" ca="1" si="0"/>
        <v/>
      </c>
      <c r="AC3" t="str">
        <f t="shared" ca="1" si="0"/>
        <v/>
      </c>
      <c r="AD3" t="str">
        <f t="shared" ca="1" si="0"/>
        <v/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ref="AL3:BM3" ca="1" si="1">HLOOKUP(INDIRECT(ADDRESS(2,COLUMN())),OFFSET($BN$2,0,0,ROW()-1,60),ROW()-1,FALSE)</f>
        <v/>
      </c>
      <c r="AM3" t="str">
        <f t="shared" ca="1" si="1"/>
        <v/>
      </c>
      <c r="AN3" t="str">
        <f t="shared" ca="1" si="1"/>
        <v/>
      </c>
      <c r="AO3" t="str">
        <f t="shared" ca="1" si="1"/>
        <v/>
      </c>
      <c r="AP3" t="str">
        <f t="shared" ca="1" si="1"/>
        <v/>
      </c>
      <c r="AQ3" t="str">
        <f t="shared" ca="1" si="1"/>
        <v/>
      </c>
      <c r="AR3" t="str">
        <f t="shared" ca="1" si="1"/>
        <v/>
      </c>
      <c r="AS3" t="str">
        <f t="shared" ca="1" si="1"/>
        <v/>
      </c>
      <c r="AT3" t="str">
        <f t="shared" ca="1" si="1"/>
        <v/>
      </c>
      <c r="AU3" t="str">
        <f t="shared" ca="1" si="1"/>
        <v/>
      </c>
      <c r="AV3" t="str">
        <f t="shared" ca="1" si="1"/>
        <v/>
      </c>
      <c r="AW3" t="str">
        <f t="shared" ca="1" si="1"/>
        <v/>
      </c>
      <c r="AX3" t="str">
        <f t="shared" ca="1" si="1"/>
        <v/>
      </c>
      <c r="AY3" t="str">
        <f t="shared" ca="1" si="1"/>
        <v/>
      </c>
      <c r="AZ3" t="str">
        <f t="shared" ca="1" si="1"/>
        <v/>
      </c>
      <c r="BA3" t="str">
        <f t="shared" ca="1" si="1"/>
        <v/>
      </c>
      <c r="BB3" t="str">
        <f t="shared" ca="1" si="1"/>
        <v/>
      </c>
      <c r="BC3" t="str">
        <f t="shared" ca="1" si="1"/>
        <v/>
      </c>
      <c r="BD3" t="str">
        <f t="shared" ca="1" si="1"/>
        <v/>
      </c>
      <c r="BE3" t="str">
        <f t="shared" ca="1" si="1"/>
        <v/>
      </c>
      <c r="BF3" t="str">
        <f t="shared" ca="1" si="1"/>
        <v/>
      </c>
      <c r="BG3" t="str">
        <f t="shared" ca="1" si="1"/>
        <v/>
      </c>
      <c r="BH3" t="str">
        <f t="shared" ca="1" si="1"/>
        <v/>
      </c>
      <c r="BI3" t="str">
        <f t="shared" ca="1" si="1"/>
        <v/>
      </c>
      <c r="BJ3" t="str">
        <f t="shared" ca="1" si="1"/>
        <v/>
      </c>
      <c r="BK3" t="str">
        <f t="shared" ca="1" si="1"/>
        <v/>
      </c>
      <c r="BL3" t="str">
        <f t="shared" ca="1" si="1"/>
        <v/>
      </c>
      <c r="BM3" t="str">
        <f t="shared" ca="1" si="1"/>
        <v/>
      </c>
      <c r="BN3" t="str">
        <f>""</f>
        <v/>
      </c>
      <c r="BO3" t="str">
        <f>""</f>
        <v/>
      </c>
      <c r="BP3" t="str">
        <f>""</f>
        <v/>
      </c>
      <c r="BQ3" t="str">
        <f>""</f>
        <v/>
      </c>
      <c r="BR3" t="str">
        <f>""</f>
        <v/>
      </c>
      <c r="BS3" t="str">
        <f>""</f>
        <v/>
      </c>
      <c r="BT3" t="str">
        <f>""</f>
        <v/>
      </c>
      <c r="BU3" t="str">
        <f>""</f>
        <v/>
      </c>
      <c r="BV3" t="str">
        <f>""</f>
        <v/>
      </c>
      <c r="BW3" t="str">
        <f>""</f>
        <v/>
      </c>
      <c r="BX3" t="str">
        <f>""</f>
        <v/>
      </c>
      <c r="BY3" t="str">
        <f>""</f>
        <v/>
      </c>
      <c r="BZ3" t="str">
        <f>""</f>
        <v/>
      </c>
      <c r="CA3" t="str">
        <f>""</f>
        <v/>
      </c>
      <c r="CB3" t="str">
        <f>""</f>
        <v/>
      </c>
      <c r="CC3" t="str">
        <f>""</f>
        <v/>
      </c>
      <c r="CD3" t="str">
        <f>""</f>
        <v/>
      </c>
      <c r="CE3" t="str">
        <f>""</f>
        <v/>
      </c>
      <c r="CF3" t="str">
        <f>""</f>
        <v/>
      </c>
      <c r="CG3" t="str">
        <f>""</f>
        <v/>
      </c>
      <c r="CH3" t="str">
        <f>""</f>
        <v/>
      </c>
      <c r="CI3" t="str">
        <f>""</f>
        <v/>
      </c>
      <c r="CJ3" t="str">
        <f>""</f>
        <v/>
      </c>
      <c r="CK3" t="str">
        <f>""</f>
        <v/>
      </c>
      <c r="CL3" t="str">
        <f>""</f>
        <v/>
      </c>
      <c r="CM3" t="str">
        <f>""</f>
        <v/>
      </c>
      <c r="CN3" t="str">
        <f>""</f>
        <v/>
      </c>
      <c r="CO3" t="str">
        <f>""</f>
        <v/>
      </c>
      <c r="CP3" t="str">
        <f>""</f>
        <v/>
      </c>
      <c r="CQ3" t="str">
        <f>""</f>
        <v/>
      </c>
      <c r="CR3" t="str">
        <f>""</f>
        <v/>
      </c>
      <c r="CS3" t="str">
        <f>""</f>
        <v/>
      </c>
      <c r="CT3" t="str">
        <f>""</f>
        <v/>
      </c>
      <c r="CU3" t="str">
        <f>""</f>
        <v/>
      </c>
      <c r="CV3" t="str">
        <f>""</f>
        <v/>
      </c>
      <c r="CW3" t="str">
        <f>""</f>
        <v/>
      </c>
      <c r="CX3" t="str">
        <f>""</f>
        <v/>
      </c>
      <c r="CY3" t="str">
        <f>""</f>
        <v/>
      </c>
      <c r="CZ3" t="str">
        <f>""</f>
        <v/>
      </c>
      <c r="DA3" t="str">
        <f>""</f>
        <v/>
      </c>
      <c r="DB3" t="str">
        <f>""</f>
        <v/>
      </c>
      <c r="DC3" t="str">
        <f>""</f>
        <v/>
      </c>
      <c r="DD3" t="str">
        <f>""</f>
        <v/>
      </c>
      <c r="DE3" t="str">
        <f>""</f>
        <v/>
      </c>
      <c r="DF3" t="str">
        <f>""</f>
        <v/>
      </c>
      <c r="DG3" t="str">
        <f>""</f>
        <v/>
      </c>
      <c r="DH3" t="str">
        <f>""</f>
        <v/>
      </c>
      <c r="DI3" t="str">
        <f>""</f>
        <v/>
      </c>
      <c r="DJ3" t="str">
        <f>""</f>
        <v/>
      </c>
      <c r="DK3" t="str">
        <f>""</f>
        <v/>
      </c>
      <c r="DL3" t="str">
        <f>""</f>
        <v/>
      </c>
      <c r="DM3" t="str">
        <f>""</f>
        <v/>
      </c>
      <c r="DN3" t="str">
        <f>""</f>
        <v/>
      </c>
      <c r="DO3" t="str">
        <f>""</f>
        <v/>
      </c>
      <c r="DP3" t="str">
        <f>""</f>
        <v/>
      </c>
      <c r="DQ3" t="str">
        <f>""</f>
        <v/>
      </c>
      <c r="DR3" t="str">
        <f>""</f>
        <v/>
      </c>
      <c r="DS3" t="str">
        <f>""</f>
        <v/>
      </c>
      <c r="DT3" t="str">
        <f>""</f>
        <v/>
      </c>
      <c r="DU3" t="str">
        <f>""</f>
        <v/>
      </c>
    </row>
    <row r="4" spans="1:125">
      <c r="A4" t="str">
        <f>"    工业房地产投资信托同店净营业利润增长"</f>
        <v xml:space="preserve">    工业房地产投资信托同店净营业利润增长</v>
      </c>
      <c r="B4" t="str">
        <f>"RECFSSIN Index"</f>
        <v>RECFSSIN Index</v>
      </c>
      <c r="C4" t="str">
        <f>"PR005"</f>
        <v>PR005</v>
      </c>
      <c r="D4" t="str">
        <f>"PX_LAST"</f>
        <v>PX_LAST</v>
      </c>
      <c r="E4" t="str">
        <f>"动态"</f>
        <v>动态</v>
      </c>
      <c r="F4">
        <f ca="1">IF(AND(ISNUMBER($F$33),$B$28=1),$F$33,HLOOKUP(INDIRECT(ADDRESS(2,COLUMN())),OFFSET($BN$2,0,0,ROW()-1,60),ROW()-1,FALSE))</f>
        <v>4.2232023449999998</v>
      </c>
      <c r="G4">
        <f ca="1">IF(AND(ISNUMBER($G$33),$B$28=1),$G$33,HLOOKUP(INDIRECT(ADDRESS(2,COLUMN())),OFFSET($BN$2,0,0,ROW()-1,60),ROW()-1,FALSE))</f>
        <v>4.5914524400000003</v>
      </c>
      <c r="H4">
        <f ca="1">IF(AND(ISNUMBER($H$33),$B$28=1),$H$33,HLOOKUP(INDIRECT(ADDRESS(2,COLUMN())),OFFSET($BN$2,0,0,ROW()-1,60),ROW()-1,FALSE))</f>
        <v>5.2246744510000003</v>
      </c>
      <c r="I4">
        <f ca="1">IF(AND(ISNUMBER($I$33),$B$28=1),$I$33,HLOOKUP(INDIRECT(ADDRESS(2,COLUMN())),OFFSET($BN$2,0,0,ROW()-1,60),ROW()-1,FALSE))</f>
        <v>5.9196263160000004</v>
      </c>
      <c r="J4">
        <f ca="1">IF(AND(ISNUMBER($J$33),$B$28=1),$J$33,HLOOKUP(INDIRECT(ADDRESS(2,COLUMN())),OFFSET($BN$2,0,0,ROW()-1,60),ROW()-1,FALSE))</f>
        <v>4.1192869859999997</v>
      </c>
      <c r="K4">
        <f ca="1">IF(AND(ISNUMBER($K$33),$B$28=1),$K$33,HLOOKUP(INDIRECT(ADDRESS(2,COLUMN())),OFFSET($BN$2,0,0,ROW()-1,60),ROW()-1,FALSE))</f>
        <v>4.8630891629999997</v>
      </c>
      <c r="L4">
        <f ca="1">IF(AND(ISNUMBER($L$33),$B$28=1),$L$33,HLOOKUP(INDIRECT(ADDRESS(2,COLUMN())),OFFSET($BN$2,0,0,ROW()-1,60),ROW()-1,FALSE))</f>
        <v>4.0092662529999998</v>
      </c>
      <c r="M4">
        <f ca="1">IF(AND(ISNUMBER($M$33),$B$28=1),$M$33,HLOOKUP(INDIRECT(ADDRESS(2,COLUMN())),OFFSET($BN$2,0,0,ROW()-1,60),ROW()-1,FALSE))</f>
        <v>5.0211329449999997</v>
      </c>
      <c r="N4">
        <f ca="1">IF(AND(ISNUMBER($N$33),$B$28=1),$N$33,HLOOKUP(INDIRECT(ADDRESS(2,COLUMN())),OFFSET($BN$2,0,0,ROW()-1,60),ROW()-1,FALSE))</f>
        <v>3.5387011080000002</v>
      </c>
      <c r="O4">
        <f ca="1">IF(AND(ISNUMBER($O$33),$B$28=1),$O$33,HLOOKUP(INDIRECT(ADDRESS(2,COLUMN())),OFFSET($BN$2,0,0,ROW()-1,60),ROW()-1,FALSE))</f>
        <v>3.529305608</v>
      </c>
      <c r="P4">
        <f ca="1">IF(AND(ISNUMBER($P$33),$B$28=1),$P$33,HLOOKUP(INDIRECT(ADDRESS(2,COLUMN())),OFFSET($BN$2,0,0,ROW()-1,60),ROW()-1,FALSE))</f>
        <v>4.581026949</v>
      </c>
      <c r="Q4">
        <f ca="1">IF(AND(ISNUMBER($Q$33),$B$28=1),$Q$33,HLOOKUP(INDIRECT(ADDRESS(2,COLUMN())),OFFSET($BN$2,0,0,ROW()-1,60),ROW()-1,FALSE))</f>
        <v>4.199312194</v>
      </c>
      <c r="R4">
        <f ca="1">IF(AND(ISNUMBER($R$33),$B$28=1),$R$33,HLOOKUP(INDIRECT(ADDRESS(2,COLUMN())),OFFSET($BN$2,0,0,ROW()-1,60),ROW()-1,FALSE))</f>
        <v>4.0052269269999998</v>
      </c>
      <c r="S4">
        <f ca="1">IF(AND(ISNUMBER($S$33),$B$28=1),$S$33,HLOOKUP(INDIRECT(ADDRESS(2,COLUMN())),OFFSET($BN$2,0,0,ROW()-1,60),ROW()-1,FALSE))</f>
        <v>3.7679753599999999</v>
      </c>
      <c r="T4">
        <f ca="1">IF(AND(ISNUMBER($T$33),$B$28=1),$T$33,HLOOKUP(INDIRECT(ADDRESS(2,COLUMN())),OFFSET($BN$2,0,0,ROW()-1,60),ROW()-1,FALSE))</f>
        <v>3.7806882910000001</v>
      </c>
      <c r="U4">
        <f ca="1">IF(AND(ISNUMBER($U$33),$B$28=1),$U$33,HLOOKUP(INDIRECT(ADDRESS(2,COLUMN())),OFFSET($BN$2,0,0,ROW()-1,60),ROW()-1,FALSE))</f>
        <v>2.5392217430000001</v>
      </c>
      <c r="V4">
        <f ca="1">IF(AND(ISNUMBER($V$33),$B$28=1),$V$33,HLOOKUP(INDIRECT(ADDRESS(2,COLUMN())),OFFSET($BN$2,0,0,ROW()-1,60),ROW()-1,FALSE))</f>
        <v>2.3733777439999999</v>
      </c>
      <c r="W4">
        <f ca="1">IF(AND(ISNUMBER($W$33),$B$28=1),$W$33,HLOOKUP(INDIRECT(ADDRESS(2,COLUMN())),OFFSET($BN$2,0,0,ROW()-1,60),ROW()-1,FALSE))</f>
        <v>2.0714796170000001</v>
      </c>
      <c r="X4">
        <f ca="1">IF(AND(ISNUMBER($X$33),$B$28=1),$X$33,HLOOKUP(INDIRECT(ADDRESS(2,COLUMN())),OFFSET($BN$2,0,0,ROW()-1,60),ROW()-1,FALSE))</f>
        <v>1.4403236210000001</v>
      </c>
      <c r="Y4">
        <f ca="1">IF(AND(ISNUMBER($Y$33),$B$28=1),$Y$33,HLOOKUP(INDIRECT(ADDRESS(2,COLUMN())),OFFSET($BN$2,0,0,ROW()-1,60),ROW()-1,FALSE))</f>
        <v>1.1843059300000001</v>
      </c>
      <c r="Z4">
        <f ca="1">IF(AND(ISNUMBER($Z$33),$B$28=1),$Z$33,HLOOKUP(INDIRECT(ADDRESS(2,COLUMN())),OFFSET($BN$2,0,0,ROW()-1,60),ROW()-1,FALSE))</f>
        <v>0.94784504999999997</v>
      </c>
      <c r="AA4">
        <f ca="1">IF(AND(ISNUMBER($AA$33),$B$28=1),$AA$33,HLOOKUP(INDIRECT(ADDRESS(2,COLUMN())),OFFSET($BN$2,0,0,ROW()-1,60),ROW()-1,FALSE))</f>
        <v>1.9782950969999999</v>
      </c>
      <c r="AB4">
        <f ca="1">IF(AND(ISNUMBER($AB$33),$B$28=1),$AB$33,HLOOKUP(INDIRECT(ADDRESS(2,COLUMN())),OFFSET($BN$2,0,0,ROW()-1,60),ROW()-1,FALSE))</f>
        <v>1.198740519</v>
      </c>
      <c r="AC4">
        <f ca="1">IF(AND(ISNUMBER($AC$33),$B$28=1),$AC$33,HLOOKUP(INDIRECT(ADDRESS(2,COLUMN())),OFFSET($BN$2,0,0,ROW()-1,60),ROW()-1,FALSE))</f>
        <v>2.4098687970000001</v>
      </c>
      <c r="AD4">
        <f ca="1">IF(AND(ISNUMBER($AD$33),$B$28=1),$AD$33,HLOOKUP(INDIRECT(ADDRESS(2,COLUMN())),OFFSET($BN$2,0,0,ROW()-1,60),ROW()-1,FALSE))</f>
        <v>1.3152475939999999</v>
      </c>
      <c r="AE4">
        <f ca="1">IF(AND(ISNUMBER($AE$33),$B$28=1),$AE$33,HLOOKUP(INDIRECT(ADDRESS(2,COLUMN())),OFFSET($BN$2,0,0,ROW()-1,60),ROW()-1,FALSE))</f>
        <v>0.112182613</v>
      </c>
      <c r="AF4">
        <f ca="1">IF(AND(ISNUMBER($AF$33),$B$28=1),$AF$33,HLOOKUP(INDIRECT(ADDRESS(2,COLUMN())),OFFSET($BN$2,0,0,ROW()-1,60),ROW()-1,FALSE))</f>
        <v>1.7166853909999999</v>
      </c>
      <c r="AG4">
        <f ca="1">IF(AND(ISNUMBER($AG$33),$B$28=1),$AG$33,HLOOKUP(INDIRECT(ADDRESS(2,COLUMN())),OFFSET($BN$2,0,0,ROW()-1,60),ROW()-1,FALSE))</f>
        <v>0.58642748</v>
      </c>
      <c r="AH4">
        <f ca="1">IF(AND(ISNUMBER($AH$33),$B$28=1),$AH$33,HLOOKUP(INDIRECT(ADDRESS(2,COLUMN())),OFFSET($BN$2,0,0,ROW()-1,60),ROW()-1,FALSE))</f>
        <v>-0.1166934</v>
      </c>
      <c r="AI4">
        <f ca="1">IF(AND(ISNUMBER($AI$33),$B$28=1),$AI$33,HLOOKUP(INDIRECT(ADDRESS(2,COLUMN())),OFFSET($BN$2,0,0,ROW()-1,60),ROW()-1,FALSE))</f>
        <v>-0.81710332699999999</v>
      </c>
      <c r="AJ4">
        <f ca="1">IF(AND(ISNUMBER($AJ$33),$B$28=1),$AJ$33,HLOOKUP(INDIRECT(ADDRESS(2,COLUMN())),OFFSET($BN$2,0,0,ROW()-1,60),ROW()-1,FALSE))</f>
        <v>-3.0890687200000002</v>
      </c>
      <c r="AK4">
        <f ca="1">IF(AND(ISNUMBER($AK$33),$B$28=1),$AK$33,HLOOKUP(INDIRECT(ADDRESS(2,COLUMN())),OFFSET($BN$2,0,0,ROW()-1,60),ROW()-1,FALSE))</f>
        <v>-4.1914401950000002</v>
      </c>
      <c r="AL4">
        <f ca="1">IF(AND(ISNUMBER($AL$33),$B$28=1),$AL$33,HLOOKUP(INDIRECT(ADDRESS(2,COLUMN())),OFFSET($BN$2,0,0,ROW()-1,60),ROW()-1,FALSE))</f>
        <v>-4.3847540479999996</v>
      </c>
      <c r="AM4">
        <f ca="1">IF(AND(ISNUMBER($AM$33),$B$28=1),$AM$33,HLOOKUP(INDIRECT(ADDRESS(2,COLUMN())),OFFSET($BN$2,0,0,ROW()-1,60),ROW()-1,FALSE))</f>
        <v>-3.1949803729999999</v>
      </c>
      <c r="AN4">
        <f ca="1">IF(AND(ISNUMBER($AN$33),$B$28=1),$AN$33,HLOOKUP(INDIRECT(ADDRESS(2,COLUMN())),OFFSET($BN$2,0,0,ROW()-1,60),ROW()-1,FALSE))</f>
        <v>-0.15071026100000001</v>
      </c>
      <c r="AO4">
        <f ca="1">IF(AND(ISNUMBER($AO$33),$B$28=1),$AO$33,HLOOKUP(INDIRECT(ADDRESS(2,COLUMN())),OFFSET($BN$2,0,0,ROW()-1,60),ROW()-1,FALSE))</f>
        <v>-9.8631295999999993E-2</v>
      </c>
      <c r="AP4">
        <f ca="1">IF(AND(ISNUMBER($AP$33),$B$28=1),$AP$33,HLOOKUP(INDIRECT(ADDRESS(2,COLUMN())),OFFSET($BN$2,0,0,ROW()-1,60),ROW()-1,FALSE))</f>
        <v>1.336035259</v>
      </c>
      <c r="AQ4">
        <f ca="1">IF(AND(ISNUMBER($AQ$33),$B$28=1),$AQ$33,HLOOKUP(INDIRECT(ADDRESS(2,COLUMN())),OFFSET($BN$2,0,0,ROW()-1,60),ROW()-1,FALSE))</f>
        <v>1.6495429669999999</v>
      </c>
      <c r="AR4">
        <f ca="1">IF(AND(ISNUMBER($AR$33),$B$28=1),$AR$33,HLOOKUP(INDIRECT(ADDRESS(2,COLUMN())),OFFSET($BN$2,0,0,ROW()-1,60),ROW()-1,FALSE))</f>
        <v>1.254120951</v>
      </c>
      <c r="AS4">
        <f ca="1">IF(AND(ISNUMBER($AS$33),$B$28=1),$AS$33,HLOOKUP(INDIRECT(ADDRESS(2,COLUMN())),OFFSET($BN$2,0,0,ROW()-1,60),ROW()-1,FALSE))</f>
        <v>2.4589530559999999</v>
      </c>
      <c r="AT4">
        <f ca="1">IF(AND(ISNUMBER($AT$33),$B$28=1),$AT$33,HLOOKUP(INDIRECT(ADDRESS(2,COLUMN())),OFFSET($BN$2,0,0,ROW()-1,60),ROW()-1,FALSE))</f>
        <v>2.2913001450000001</v>
      </c>
      <c r="AU4">
        <f ca="1">IF(AND(ISNUMBER($AU$33),$B$28=1),$AU$33,HLOOKUP(INDIRECT(ADDRESS(2,COLUMN())),OFFSET($BN$2,0,0,ROW()-1,60),ROW()-1,FALSE))</f>
        <v>3.7437109159999999</v>
      </c>
      <c r="AV4">
        <f ca="1">IF(AND(ISNUMBER($AV$33),$B$28=1),$AV$33,HLOOKUP(INDIRECT(ADDRESS(2,COLUMN())),OFFSET($BN$2,0,0,ROW()-1,60),ROW()-1,FALSE))</f>
        <v>3.98259045</v>
      </c>
      <c r="AW4">
        <f ca="1">IF(AND(ISNUMBER($AW$33),$B$28=1),$AW$33,HLOOKUP(INDIRECT(ADDRESS(2,COLUMN())),OFFSET($BN$2,0,0,ROW()-1,60),ROW()-1,FALSE))</f>
        <v>4.3746742550000004</v>
      </c>
      <c r="AX4">
        <f ca="1">IF(AND(ISNUMBER($AX$33),$B$28=1),$AX$33,HLOOKUP(INDIRECT(ADDRESS(2,COLUMN())),OFFSET($BN$2,0,0,ROW()-1,60),ROW()-1,FALSE))</f>
        <v>4.6154109400000003</v>
      </c>
      <c r="AY4">
        <f ca="1">IF(AND(ISNUMBER($AY$33),$B$28=1),$AY$33,HLOOKUP(INDIRECT(ADDRESS(2,COLUMN())),OFFSET($BN$2,0,0,ROW()-1,60),ROW()-1,FALSE))</f>
        <v>4.8839512359999997</v>
      </c>
      <c r="AZ4">
        <f ca="1">IF(AND(ISNUMBER($AZ$33),$B$28=1),$AZ$33,HLOOKUP(INDIRECT(ADDRESS(2,COLUMN())),OFFSET($BN$2,0,0,ROW()-1,60),ROW()-1,FALSE))</f>
        <v>1.5879165200000001</v>
      </c>
      <c r="BA4">
        <f ca="1">IF(AND(ISNUMBER($BA$33),$B$28=1),$BA$33,HLOOKUP(INDIRECT(ADDRESS(2,COLUMN())),OFFSET($BN$2,0,0,ROW()-1,60),ROW()-1,FALSE))</f>
        <v>0.14132600300000001</v>
      </c>
      <c r="BB4">
        <f ca="1">IF(AND(ISNUMBER($BB$33),$B$28=1),$BB$33,HLOOKUP(INDIRECT(ADDRESS(2,COLUMN())),OFFSET($BN$2,0,0,ROW()-1,60),ROW()-1,FALSE))</f>
        <v>-1.674189232</v>
      </c>
      <c r="BC4">
        <f ca="1">IF(AND(ISNUMBER($BC$33),$B$28=1),$BC$33,HLOOKUP(INDIRECT(ADDRESS(2,COLUMN())),OFFSET($BN$2,0,0,ROW()-1,60),ROW()-1,FALSE))</f>
        <v>53.110821250000001</v>
      </c>
      <c r="BD4">
        <f ca="1">IF(AND(ISNUMBER($BD$33),$B$28=1),$BD$33,HLOOKUP(INDIRECT(ADDRESS(2,COLUMN())),OFFSET($BN$2,0,0,ROW()-1,60),ROW()-1,FALSE))</f>
        <v>51.194759359999999</v>
      </c>
      <c r="BE4">
        <f ca="1">IF(AND(ISNUMBER($BE$33),$B$28=1),$BE$33,HLOOKUP(INDIRECT(ADDRESS(2,COLUMN())),OFFSET($BN$2,0,0,ROW()-1,60),ROW()-1,FALSE))</f>
        <v>50.150699250000002</v>
      </c>
      <c r="BF4">
        <f ca="1">IF(AND(ISNUMBER($BF$33),$B$28=1),$BF$33,HLOOKUP(INDIRECT(ADDRESS(2,COLUMN())),OFFSET($BN$2,0,0,ROW()-1,60),ROW()-1,FALSE))</f>
        <v>53.586337329999999</v>
      </c>
      <c r="BG4">
        <f ca="1">IF(AND(ISNUMBER($BG$33),$B$28=1),$BG$33,HLOOKUP(INDIRECT(ADDRESS(2,COLUMN())),OFFSET($BN$2,0,0,ROW()-1,60),ROW()-1,FALSE))</f>
        <v>53.956815720000002</v>
      </c>
      <c r="BH4">
        <f ca="1">IF(AND(ISNUMBER($BH$33),$B$28=1),$BH$33,HLOOKUP(INDIRECT(ADDRESS(2,COLUMN())),OFFSET($BN$2,0,0,ROW()-1,60),ROW()-1,FALSE))</f>
        <v>48.828673520000002</v>
      </c>
      <c r="BI4">
        <f ca="1">IF(AND(ISNUMBER($BI$33),$B$28=1),$BI$33,HLOOKUP(INDIRECT(ADDRESS(2,COLUMN())),OFFSET($BN$2,0,0,ROW()-1,60),ROW()-1,FALSE))</f>
        <v>47.931184129999998</v>
      </c>
      <c r="BJ4">
        <f ca="1">IF(AND(ISNUMBER($BJ$33),$B$28=1),$BJ$33,HLOOKUP(INDIRECT(ADDRESS(2,COLUMN())),OFFSET($BN$2,0,0,ROW()-1,60),ROW()-1,FALSE))</f>
        <v>81.150911140000005</v>
      </c>
      <c r="BK4">
        <f ca="1">IF(AND(ISNUMBER($BK$33),$B$28=1),$BK$33,HLOOKUP(INDIRECT(ADDRESS(2,COLUMN())),OFFSET($BN$2,0,0,ROW()-1,60),ROW()-1,FALSE))</f>
        <v>74.608031019999999</v>
      </c>
      <c r="BL4">
        <f ca="1">IF(AND(ISNUMBER($BL$33),$B$28=1),$BL$33,HLOOKUP(INDIRECT(ADDRESS(2,COLUMN())),OFFSET($BN$2,0,0,ROW()-1,60),ROW()-1,FALSE))</f>
        <v>76.05672045</v>
      </c>
      <c r="BM4">
        <f ca="1">IF(AND(ISNUMBER($BM$33),$B$28=1),$BM$33,HLOOKUP(INDIRECT(ADDRESS(2,COLUMN())),OFFSET($BN$2,0,0,ROW()-1,60),ROW()-1,FALSE))</f>
        <v>72.650276500000004</v>
      </c>
      <c r="BN4">
        <f>4.223202345</f>
        <v>4.2232023449999998</v>
      </c>
      <c r="BO4">
        <f>4.59145244</f>
        <v>4.5914524400000003</v>
      </c>
      <c r="BP4">
        <f>5.224674451</f>
        <v>5.2246744510000003</v>
      </c>
      <c r="BQ4">
        <f>5.919626316</f>
        <v>5.9196263160000004</v>
      </c>
      <c r="BR4">
        <f>4.119286986</f>
        <v>4.1192869859999997</v>
      </c>
      <c r="BS4">
        <f>4.863089163</f>
        <v>4.8630891629999997</v>
      </c>
      <c r="BT4">
        <f>4.009266253</f>
        <v>4.0092662529999998</v>
      </c>
      <c r="BU4">
        <f>5.021132945</f>
        <v>5.0211329449999997</v>
      </c>
      <c r="BV4">
        <f>3.538701108</f>
        <v>3.5387011080000002</v>
      </c>
      <c r="BW4">
        <f>3.529305608</f>
        <v>3.529305608</v>
      </c>
      <c r="BX4">
        <f>4.581026949</f>
        <v>4.581026949</v>
      </c>
      <c r="BY4">
        <f>4.199312194</f>
        <v>4.199312194</v>
      </c>
      <c r="BZ4">
        <f>4.005226927</f>
        <v>4.0052269269999998</v>
      </c>
      <c r="CA4">
        <f>3.76797536</f>
        <v>3.7679753599999999</v>
      </c>
      <c r="CB4">
        <f>3.780688291</f>
        <v>3.7806882910000001</v>
      </c>
      <c r="CC4">
        <f>2.539221743</f>
        <v>2.5392217430000001</v>
      </c>
      <c r="CD4">
        <f>2.373377744</f>
        <v>2.3733777439999999</v>
      </c>
      <c r="CE4">
        <f>2.071479617</f>
        <v>2.0714796170000001</v>
      </c>
      <c r="CF4">
        <f>1.440323621</f>
        <v>1.4403236210000001</v>
      </c>
      <c r="CG4">
        <f>1.18430593</f>
        <v>1.1843059300000001</v>
      </c>
      <c r="CH4">
        <f>0.94784505</f>
        <v>0.94784504999999997</v>
      </c>
      <c r="CI4">
        <f>1.978295097</f>
        <v>1.9782950969999999</v>
      </c>
      <c r="CJ4">
        <f>1.198740519</f>
        <v>1.198740519</v>
      </c>
      <c r="CK4">
        <f>2.409868797</f>
        <v>2.4098687970000001</v>
      </c>
      <c r="CL4">
        <f>1.315247594</f>
        <v>1.3152475939999999</v>
      </c>
      <c r="CM4">
        <f>0.112182613</f>
        <v>0.112182613</v>
      </c>
      <c r="CN4">
        <f>1.716685391</f>
        <v>1.7166853909999999</v>
      </c>
      <c r="CO4">
        <f>0.58642748</f>
        <v>0.58642748</v>
      </c>
      <c r="CP4">
        <f>-0.1166934</f>
        <v>-0.1166934</v>
      </c>
      <c r="CQ4">
        <f>-0.817103327</f>
        <v>-0.81710332699999999</v>
      </c>
      <c r="CR4">
        <f>-3.08906872</f>
        <v>-3.0890687200000002</v>
      </c>
      <c r="CS4">
        <f>-4.191440195</f>
        <v>-4.1914401950000002</v>
      </c>
      <c r="CT4">
        <f>-4.384754048</f>
        <v>-4.3847540479999996</v>
      </c>
      <c r="CU4">
        <f>-3.194980373</f>
        <v>-3.1949803729999999</v>
      </c>
      <c r="CV4">
        <f>-0.150710261</f>
        <v>-0.15071026100000001</v>
      </c>
      <c r="CW4">
        <f>-0.098631296</f>
        <v>-9.8631295999999993E-2</v>
      </c>
      <c r="CX4">
        <f>1.336035259</f>
        <v>1.336035259</v>
      </c>
      <c r="CY4">
        <f>1.649542967</f>
        <v>1.6495429669999999</v>
      </c>
      <c r="CZ4">
        <f>1.254120951</f>
        <v>1.254120951</v>
      </c>
      <c r="DA4">
        <f>2.458953056</f>
        <v>2.4589530559999999</v>
      </c>
      <c r="DB4">
        <f>2.291300145</f>
        <v>2.2913001450000001</v>
      </c>
      <c r="DC4">
        <f>3.743710916</f>
        <v>3.7437109159999999</v>
      </c>
      <c r="DD4">
        <f>3.98259045</f>
        <v>3.98259045</v>
      </c>
      <c r="DE4">
        <f>4.374674255</f>
        <v>4.3746742550000004</v>
      </c>
      <c r="DF4">
        <f>4.61541094</f>
        <v>4.6154109400000003</v>
      </c>
      <c r="DG4">
        <f>4.883951236</f>
        <v>4.8839512359999997</v>
      </c>
      <c r="DH4">
        <f>1.58791652</f>
        <v>1.5879165200000001</v>
      </c>
      <c r="DI4">
        <f>0.141326003</f>
        <v>0.14132600300000001</v>
      </c>
      <c r="DJ4">
        <f>-1.674189232</f>
        <v>-1.674189232</v>
      </c>
      <c r="DK4">
        <f>53.11082125</f>
        <v>53.110821250000001</v>
      </c>
      <c r="DL4">
        <f>51.19475936</f>
        <v>51.194759359999999</v>
      </c>
      <c r="DM4">
        <f>50.15069925</f>
        <v>50.150699250000002</v>
      </c>
      <c r="DN4">
        <f>53.58633733</f>
        <v>53.586337329999999</v>
      </c>
      <c r="DO4">
        <f>53.95681572</f>
        <v>53.956815720000002</v>
      </c>
      <c r="DP4">
        <f>48.82867352</f>
        <v>48.828673520000002</v>
      </c>
      <c r="DQ4">
        <f>47.93118413</f>
        <v>47.931184129999998</v>
      </c>
      <c r="DR4">
        <f>81.15091114</f>
        <v>81.150911140000005</v>
      </c>
      <c r="DS4">
        <f>74.60803102</f>
        <v>74.608031019999999</v>
      </c>
      <c r="DT4">
        <f>76.05672045</f>
        <v>76.05672045</v>
      </c>
      <c r="DU4">
        <f>72.6502765</f>
        <v>72.650276500000004</v>
      </c>
    </row>
    <row r="5" spans="1:125">
      <c r="A5" t="str">
        <f>"    工业房地产投资信托平均占用率"</f>
        <v xml:space="preserve">    工业房地产投资信托平均占用率</v>
      </c>
      <c r="B5" t="str">
        <f>"RECFAVIN Index"</f>
        <v>RECFAVIN Index</v>
      </c>
      <c r="C5" t="str">
        <f>"PR005"</f>
        <v>PR005</v>
      </c>
      <c r="D5" t="str">
        <f>"PX_LAST"</f>
        <v>PX_LAST</v>
      </c>
      <c r="E5" t="str">
        <f>"动态"</f>
        <v>动态</v>
      </c>
      <c r="F5">
        <f ca="1">IF(AND(ISNUMBER($F$34),$B$28=1),$F$34,HLOOKUP(INDIRECT(ADDRESS(2,COLUMN())),OFFSET($BN$2,0,0,ROW()-1,60),ROW()-1,FALSE))</f>
        <v>96.805147779999999</v>
      </c>
      <c r="G5">
        <f ca="1">IF(AND(ISNUMBER($G$34),$B$28=1),$G$34,HLOOKUP(INDIRECT(ADDRESS(2,COLUMN())),OFFSET($BN$2,0,0,ROW()-1,60),ROW()-1,FALSE))</f>
        <v>96.226056270000001</v>
      </c>
      <c r="H5">
        <f ca="1">IF(AND(ISNUMBER($H$34),$B$28=1),$H$34,HLOOKUP(INDIRECT(ADDRESS(2,COLUMN())),OFFSET($BN$2,0,0,ROW()-1,60),ROW()-1,FALSE))</f>
        <v>96.076528510000003</v>
      </c>
      <c r="I5">
        <f ca="1">IF(AND(ISNUMBER($I$34),$B$28=1),$I$34,HLOOKUP(INDIRECT(ADDRESS(2,COLUMN())),OFFSET($BN$2,0,0,ROW()-1,60),ROW()-1,FALSE))</f>
        <v>96.317442779999993</v>
      </c>
      <c r="J5">
        <f ca="1">IF(AND(ISNUMBER($J$34),$B$28=1),$J$34,HLOOKUP(INDIRECT(ADDRESS(2,COLUMN())),OFFSET($BN$2,0,0,ROW()-1,60),ROW()-1,FALSE))</f>
        <v>96.646901790000001</v>
      </c>
      <c r="K5">
        <f ca="1">IF(AND(ISNUMBER($K$34),$B$28=1),$K$34,HLOOKUP(INDIRECT(ADDRESS(2,COLUMN())),OFFSET($BN$2,0,0,ROW()-1,60),ROW()-1,FALSE))</f>
        <v>96.238260060000002</v>
      </c>
      <c r="L5">
        <f ca="1">IF(AND(ISNUMBER($L$34),$B$28=1),$L$34,HLOOKUP(INDIRECT(ADDRESS(2,COLUMN())),OFFSET($BN$2,0,0,ROW()-1,60),ROW()-1,FALSE))</f>
        <v>95.709791370000005</v>
      </c>
      <c r="M5">
        <f ca="1">IF(AND(ISNUMBER($M$34),$B$28=1),$M$34,HLOOKUP(INDIRECT(ADDRESS(2,COLUMN())),OFFSET($BN$2,0,0,ROW()-1,60),ROW()-1,FALSE))</f>
        <v>95.296728430000002</v>
      </c>
      <c r="N5">
        <f ca="1">IF(AND(ISNUMBER($N$34),$B$28=1),$N$34,HLOOKUP(INDIRECT(ADDRESS(2,COLUMN())),OFFSET($BN$2,0,0,ROW()-1,60),ROW()-1,FALSE))</f>
        <v>95.566132679999996</v>
      </c>
      <c r="O5">
        <f ca="1">IF(AND(ISNUMBER($O$34),$B$28=1),$O$34,HLOOKUP(INDIRECT(ADDRESS(2,COLUMN())),OFFSET($BN$2,0,0,ROW()-1,60),ROW()-1,FALSE))</f>
        <v>95.066270729999999</v>
      </c>
      <c r="P5">
        <f ca="1">IF(AND(ISNUMBER($P$34),$B$28=1),$P$34,HLOOKUP(INDIRECT(ADDRESS(2,COLUMN())),OFFSET($BN$2,0,0,ROW()-1,60),ROW()-1,FALSE))</f>
        <v>94.657607060000004</v>
      </c>
      <c r="Q5">
        <f ca="1">IF(AND(ISNUMBER($Q$34),$B$28=1),$Q$34,HLOOKUP(INDIRECT(ADDRESS(2,COLUMN())),OFFSET($BN$2,0,0,ROW()-1,60),ROW()-1,FALSE))</f>
        <v>94.719723799999997</v>
      </c>
      <c r="R5">
        <f ca="1">IF(AND(ISNUMBER($R$34),$B$28=1),$R$34,HLOOKUP(INDIRECT(ADDRESS(2,COLUMN())),OFFSET($BN$2,0,0,ROW()-1,60),ROW()-1,FALSE))</f>
        <v>94.911063490000004</v>
      </c>
      <c r="S5">
        <f ca="1">IF(AND(ISNUMBER($S$34),$B$28=1),$S$34,HLOOKUP(INDIRECT(ADDRESS(2,COLUMN())),OFFSET($BN$2,0,0,ROW()-1,60),ROW()-1,FALSE))</f>
        <v>94.319611710000004</v>
      </c>
      <c r="T5">
        <f ca="1">IF(AND(ISNUMBER($T$34),$B$28=1),$T$34,HLOOKUP(INDIRECT(ADDRESS(2,COLUMN())),OFFSET($BN$2,0,0,ROW()-1,60),ROW()-1,FALSE))</f>
        <v>93.787603169999997</v>
      </c>
      <c r="U5">
        <f ca="1">IF(AND(ISNUMBER($U$34),$B$28=1),$U$34,HLOOKUP(INDIRECT(ADDRESS(2,COLUMN())),OFFSET($BN$2,0,0,ROW()-1,60),ROW()-1,FALSE))</f>
        <v>93.368892930000001</v>
      </c>
      <c r="V5">
        <f ca="1">IF(AND(ISNUMBER($V$34),$B$28=1),$V$34,HLOOKUP(INDIRECT(ADDRESS(2,COLUMN())),OFFSET($BN$2,0,0,ROW()-1,60),ROW()-1,FALSE))</f>
        <v>93.475083729999994</v>
      </c>
      <c r="W5">
        <f ca="1">IF(AND(ISNUMBER($W$34),$B$28=1),$W$34,HLOOKUP(INDIRECT(ADDRESS(2,COLUMN())),OFFSET($BN$2,0,0,ROW()-1,60),ROW()-1,FALSE))</f>
        <v>93.097410370000006</v>
      </c>
      <c r="X5">
        <f ca="1">IF(AND(ISNUMBER($X$34),$B$28=1),$X$34,HLOOKUP(INDIRECT(ADDRESS(2,COLUMN())),OFFSET($BN$2,0,0,ROW()-1,60),ROW()-1,FALSE))</f>
        <v>92.998557230000003</v>
      </c>
      <c r="Y5">
        <f ca="1">IF(AND(ISNUMBER($Y$34),$B$28=1),$Y$34,HLOOKUP(INDIRECT(ADDRESS(2,COLUMN())),OFFSET($BN$2,0,0,ROW()-1,60),ROW()-1,FALSE))</f>
        <v>92.621592489999998</v>
      </c>
      <c r="Z5">
        <f ca="1">IF(AND(ISNUMBER($Z$34),$B$28=1),$Z$34,HLOOKUP(INDIRECT(ADDRESS(2,COLUMN())),OFFSET($BN$2,0,0,ROW()-1,60),ROW()-1,FALSE))</f>
        <v>92.873771000000005</v>
      </c>
      <c r="AA5">
        <f ca="1">IF(AND(ISNUMBER($AA$34),$B$28=1),$AA$34,HLOOKUP(INDIRECT(ADDRESS(2,COLUMN())),OFFSET($BN$2,0,0,ROW()-1,60),ROW()-1,FALSE))</f>
        <v>92.360431579999997</v>
      </c>
      <c r="AB5">
        <f ca="1">IF(AND(ISNUMBER($AB$34),$B$28=1),$AB$34,HLOOKUP(INDIRECT(ADDRESS(2,COLUMN())),OFFSET($BN$2,0,0,ROW()-1,60),ROW()-1,FALSE))</f>
        <v>91.6671549</v>
      </c>
      <c r="AC5">
        <f ca="1">IF(AND(ISNUMBER($AC$34),$B$28=1),$AC$34,HLOOKUP(INDIRECT(ADDRESS(2,COLUMN())),OFFSET($BN$2,0,0,ROW()-1,60),ROW()-1,FALSE))</f>
        <v>91.596153180000002</v>
      </c>
      <c r="AD5">
        <f ca="1">IF(AND(ISNUMBER($AD$34),$B$28=1),$AD$34,HLOOKUP(INDIRECT(ADDRESS(2,COLUMN())),OFFSET($BN$2,0,0,ROW()-1,60),ROW()-1,FALSE))</f>
        <v>91.535506999999996</v>
      </c>
      <c r="AE5">
        <f ca="1">IF(AND(ISNUMBER($AE$34),$B$28=1),$AE$34,HLOOKUP(INDIRECT(ADDRESS(2,COLUMN())),OFFSET($BN$2,0,0,ROW()-1,60),ROW()-1,FALSE))</f>
        <v>90.672566320000001</v>
      </c>
      <c r="AF5">
        <f ca="1">IF(AND(ISNUMBER($AF$34),$B$28=1),$AF$34,HLOOKUP(INDIRECT(ADDRESS(2,COLUMN())),OFFSET($BN$2,0,0,ROW()-1,60),ROW()-1,FALSE))</f>
        <v>90.036614569999998</v>
      </c>
      <c r="AG5">
        <f ca="1">IF(AND(ISNUMBER($AG$34),$B$28=1),$AG$34,HLOOKUP(INDIRECT(ADDRESS(2,COLUMN())),OFFSET($BN$2,0,0,ROW()-1,60),ROW()-1,FALSE))</f>
        <v>89.56166322</v>
      </c>
      <c r="AH5">
        <f ca="1">IF(AND(ISNUMBER($AH$34),$B$28=1),$AH$34,HLOOKUP(INDIRECT(ADDRESS(2,COLUMN())),OFFSET($BN$2,0,0,ROW()-1,60),ROW()-1,FALSE))</f>
        <v>90.084729289999999</v>
      </c>
      <c r="AI5">
        <f ca="1">IF(AND(ISNUMBER($AI$34),$B$28=1),$AI$34,HLOOKUP(INDIRECT(ADDRESS(2,COLUMN())),OFFSET($BN$2,0,0,ROW()-1,60),ROW()-1,FALSE))</f>
        <v>89.505811859999994</v>
      </c>
      <c r="AJ5">
        <f ca="1">IF(AND(ISNUMBER($AJ$34),$B$28=1),$AJ$34,HLOOKUP(INDIRECT(ADDRESS(2,COLUMN())),OFFSET($BN$2,0,0,ROW()-1,60),ROW()-1,FALSE))</f>
        <v>88.833573380000004</v>
      </c>
      <c r="AK5">
        <f ca="1">IF(AND(ISNUMBER($AK$34),$B$28=1),$AK$34,HLOOKUP(INDIRECT(ADDRESS(2,COLUMN())),OFFSET($BN$2,0,0,ROW()-1,60),ROW()-1,FALSE))</f>
        <v>88.530827680000002</v>
      </c>
      <c r="AL5">
        <f ca="1">IF(AND(ISNUMBER($AL$34),$B$28=1),$AL$34,HLOOKUP(INDIRECT(ADDRESS(2,COLUMN())),OFFSET($BN$2,0,0,ROW()-1,60),ROW()-1,FALSE))</f>
        <v>88.877908039999994</v>
      </c>
      <c r="AM5">
        <f ca="1">IF(AND(ISNUMBER($AM$34),$B$28=1),$AM$34,HLOOKUP(INDIRECT(ADDRESS(2,COLUMN())),OFFSET($BN$2,0,0,ROW()-1,60),ROW()-1,FALSE))</f>
        <v>88.586485710000005</v>
      </c>
      <c r="AN5">
        <f ca="1">IF(AND(ISNUMBER($AN$34),$B$28=1),$AN$34,HLOOKUP(INDIRECT(ADDRESS(2,COLUMN())),OFFSET($BN$2,0,0,ROW()-1,60),ROW()-1,FALSE))</f>
        <v>88.413808779999997</v>
      </c>
      <c r="AO5">
        <f ca="1">IF(AND(ISNUMBER($AO$34),$B$28=1),$AO$34,HLOOKUP(INDIRECT(ADDRESS(2,COLUMN())),OFFSET($BN$2,0,0,ROW()-1,60),ROW()-1,FALSE))</f>
        <v>89.529342830000004</v>
      </c>
      <c r="AP5">
        <f ca="1">IF(AND(ISNUMBER($AP$34),$B$28=1),$AP$34,HLOOKUP(INDIRECT(ADDRESS(2,COLUMN())),OFFSET($BN$2,0,0,ROW()-1,60),ROW()-1,FALSE))</f>
        <v>91.559113850000003</v>
      </c>
      <c r="AQ5">
        <f ca="1">IF(AND(ISNUMBER($AQ$34),$B$28=1),$AQ$34,HLOOKUP(INDIRECT(ADDRESS(2,COLUMN())),OFFSET($BN$2,0,0,ROW()-1,60),ROW()-1,FALSE))</f>
        <v>91.572307309999999</v>
      </c>
      <c r="AR5">
        <f ca="1">IF(AND(ISNUMBER($AR$34),$B$28=1),$AR$34,HLOOKUP(INDIRECT(ADDRESS(2,COLUMN())),OFFSET($BN$2,0,0,ROW()-1,60),ROW()-1,FALSE))</f>
        <v>91.619677030000005</v>
      </c>
      <c r="AS5">
        <f ca="1">IF(AND(ISNUMBER($AS$34),$B$28=1),$AS$34,HLOOKUP(INDIRECT(ADDRESS(2,COLUMN())),OFFSET($BN$2,0,0,ROW()-1,60),ROW()-1,FALSE))</f>
        <v>91.564034539999994</v>
      </c>
      <c r="AT5">
        <f ca="1">IF(AND(ISNUMBER($AT$34),$B$28=1),$AT$34,HLOOKUP(INDIRECT(ADDRESS(2,COLUMN())),OFFSET($BN$2,0,0,ROW()-1,60),ROW()-1,FALSE))</f>
        <v>92.936812900000007</v>
      </c>
      <c r="AU5">
        <f ca="1">IF(AND(ISNUMBER($AU$34),$B$28=1),$AU$34,HLOOKUP(INDIRECT(ADDRESS(2,COLUMN())),OFFSET($BN$2,0,0,ROW()-1,60),ROW()-1,FALSE))</f>
        <v>93.326976329999994</v>
      </c>
      <c r="AV5">
        <f ca="1">IF(AND(ISNUMBER($AV$34),$B$28=1),$AV$34,HLOOKUP(INDIRECT(ADDRESS(2,COLUMN())),OFFSET($BN$2,0,0,ROW()-1,60),ROW()-1,FALSE))</f>
        <v>93.263921339999996</v>
      </c>
      <c r="AW5">
        <f ca="1">IF(AND(ISNUMBER($AW$34),$B$28=1),$AW$34,HLOOKUP(INDIRECT(ADDRESS(2,COLUMN())),OFFSET($BN$2,0,0,ROW()-1,60),ROW()-1,FALSE))</f>
        <v>93.105802670000003</v>
      </c>
      <c r="AX5">
        <f ca="1">IF(AND(ISNUMBER($AX$34),$B$28=1),$AX$34,HLOOKUP(INDIRECT(ADDRESS(2,COLUMN())),OFFSET($BN$2,0,0,ROW()-1,60),ROW()-1,FALSE))</f>
        <v>93.513785049999996</v>
      </c>
      <c r="AY5">
        <f ca="1">IF(AND(ISNUMBER($AY$34),$B$28=1),$AY$34,HLOOKUP(INDIRECT(ADDRESS(2,COLUMN())),OFFSET($BN$2,0,0,ROW()-1,60),ROW()-1,FALSE))</f>
        <v>93.209208050000001</v>
      </c>
      <c r="AZ5">
        <f ca="1">IF(AND(ISNUMBER($AZ$34),$B$28=1),$AZ$34,HLOOKUP(INDIRECT(ADDRESS(2,COLUMN())),OFFSET($BN$2,0,0,ROW()-1,60),ROW()-1,FALSE))</f>
        <v>92.90044795</v>
      </c>
      <c r="BA5">
        <f ca="1">IF(AND(ISNUMBER($BA$34),$B$28=1),$BA$34,HLOOKUP(INDIRECT(ADDRESS(2,COLUMN())),OFFSET($BN$2,0,0,ROW()-1,60),ROW()-1,FALSE))</f>
        <v>92.596444660000003</v>
      </c>
      <c r="BB5">
        <f ca="1">IF(AND(ISNUMBER($BB$34),$B$28=1),$BB$34,HLOOKUP(INDIRECT(ADDRESS(2,COLUMN())),OFFSET($BN$2,0,0,ROW()-1,60),ROW()-1,FALSE))</f>
        <v>92.801308160000005</v>
      </c>
      <c r="BC5">
        <f ca="1">IF(AND(ISNUMBER($BC$34),$B$28=1),$BC$34,HLOOKUP(INDIRECT(ADDRESS(2,COLUMN())),OFFSET($BN$2,0,0,ROW()-1,60),ROW()-1,FALSE))</f>
        <v>91.619605390000004</v>
      </c>
      <c r="BD5">
        <f ca="1">IF(AND(ISNUMBER($BD$34),$B$28=1),$BD$34,HLOOKUP(INDIRECT(ADDRESS(2,COLUMN())),OFFSET($BN$2,0,0,ROW()-1,60),ROW()-1,FALSE))</f>
        <v>91.822580380000005</v>
      </c>
      <c r="BE5">
        <f ca="1">IF(AND(ISNUMBER($BE$34),$B$28=1),$BE$34,HLOOKUP(INDIRECT(ADDRESS(2,COLUMN())),OFFSET($BN$2,0,0,ROW()-1,60),ROW()-1,FALSE))</f>
        <v>92.0606729</v>
      </c>
      <c r="BF5">
        <f ca="1">IF(AND(ISNUMBER($BF$34),$B$28=1),$BF$34,HLOOKUP(INDIRECT(ADDRESS(2,COLUMN())),OFFSET($BN$2,0,0,ROW()-1,60),ROW()-1,FALSE))</f>
        <v>92.103414830000006</v>
      </c>
      <c r="BG5">
        <f ca="1">IF(AND(ISNUMBER($BG$34),$B$28=1),$BG$34,HLOOKUP(INDIRECT(ADDRESS(2,COLUMN())),OFFSET($BN$2,0,0,ROW()-1,60),ROW()-1,FALSE))</f>
        <v>91.551477120000001</v>
      </c>
      <c r="BH5">
        <f ca="1">IF(AND(ISNUMBER($BH$34),$B$28=1),$BH$34,HLOOKUP(INDIRECT(ADDRESS(2,COLUMN())),OFFSET($BN$2,0,0,ROW()-1,60),ROW()-1,FALSE))</f>
        <v>91.322501520000003</v>
      </c>
      <c r="BI5">
        <f ca="1">IF(AND(ISNUMBER($BI$34),$B$28=1),$BI$34,HLOOKUP(INDIRECT(ADDRESS(2,COLUMN())),OFFSET($BN$2,0,0,ROW()-1,60),ROW()-1,FALSE))</f>
        <v>90.993880579999995</v>
      </c>
      <c r="BJ5">
        <f ca="1">IF(AND(ISNUMBER($BJ$34),$B$28=1),$BJ$34,HLOOKUP(INDIRECT(ADDRESS(2,COLUMN())),OFFSET($BN$2,0,0,ROW()-1,60),ROW()-1,FALSE))</f>
        <v>90.00084305</v>
      </c>
      <c r="BK5">
        <f ca="1">IF(AND(ISNUMBER($BK$34),$B$28=1),$BK$34,HLOOKUP(INDIRECT(ADDRESS(2,COLUMN())),OFFSET($BN$2,0,0,ROW()-1,60),ROW()-1,FALSE))</f>
        <v>90.253464210000004</v>
      </c>
      <c r="BL5">
        <f ca="1">IF(AND(ISNUMBER($BL$34),$B$28=1),$BL$34,HLOOKUP(INDIRECT(ADDRESS(2,COLUMN())),OFFSET($BN$2,0,0,ROW()-1,60),ROW()-1,FALSE))</f>
        <v>90.046783809999994</v>
      </c>
      <c r="BM5">
        <f ca="1">IF(AND(ISNUMBER($BM$34),$B$28=1),$BM$34,HLOOKUP(INDIRECT(ADDRESS(2,COLUMN())),OFFSET($BN$2,0,0,ROW()-1,60),ROW()-1,FALSE))</f>
        <v>89.522784239999993</v>
      </c>
      <c r="BN5">
        <f>96.80514778</f>
        <v>96.805147779999999</v>
      </c>
      <c r="BO5">
        <f>96.22605627</f>
        <v>96.226056270000001</v>
      </c>
      <c r="BP5">
        <f>96.07652851</f>
        <v>96.076528510000003</v>
      </c>
      <c r="BQ5">
        <f>96.31744278</f>
        <v>96.317442779999993</v>
      </c>
      <c r="BR5">
        <f>96.64690179</f>
        <v>96.646901790000001</v>
      </c>
      <c r="BS5">
        <f>96.23826006</f>
        <v>96.238260060000002</v>
      </c>
      <c r="BT5">
        <f>95.70979137</f>
        <v>95.709791370000005</v>
      </c>
      <c r="BU5">
        <f>95.29672843</f>
        <v>95.296728430000002</v>
      </c>
      <c r="BV5">
        <f>95.56613268</f>
        <v>95.566132679999996</v>
      </c>
      <c r="BW5">
        <f>95.06627073</f>
        <v>95.066270729999999</v>
      </c>
      <c r="BX5">
        <f>94.65760706</f>
        <v>94.657607060000004</v>
      </c>
      <c r="BY5">
        <f>94.7197238</f>
        <v>94.719723799999997</v>
      </c>
      <c r="BZ5">
        <f>94.91106349</f>
        <v>94.911063490000004</v>
      </c>
      <c r="CA5">
        <f>94.31961171</f>
        <v>94.319611710000004</v>
      </c>
      <c r="CB5">
        <f>93.78760317</f>
        <v>93.787603169999997</v>
      </c>
      <c r="CC5">
        <f>93.36889293</f>
        <v>93.368892930000001</v>
      </c>
      <c r="CD5">
        <f>93.47508373</f>
        <v>93.475083729999994</v>
      </c>
      <c r="CE5">
        <f>93.09741037</f>
        <v>93.097410370000006</v>
      </c>
      <c r="CF5">
        <f>92.99855723</f>
        <v>92.998557230000003</v>
      </c>
      <c r="CG5">
        <f>92.62159249</f>
        <v>92.621592489999998</v>
      </c>
      <c r="CH5">
        <f>92.873771</f>
        <v>92.873771000000005</v>
      </c>
      <c r="CI5">
        <f>92.36043158</f>
        <v>92.360431579999997</v>
      </c>
      <c r="CJ5">
        <f>91.6671549</f>
        <v>91.6671549</v>
      </c>
      <c r="CK5">
        <f>91.59615318</f>
        <v>91.596153180000002</v>
      </c>
      <c r="CL5">
        <f>91.535507</f>
        <v>91.535506999999996</v>
      </c>
      <c r="CM5">
        <f>90.67256632</f>
        <v>90.672566320000001</v>
      </c>
      <c r="CN5">
        <f>90.03661457</f>
        <v>90.036614569999998</v>
      </c>
      <c r="CO5">
        <f>89.56166322</f>
        <v>89.56166322</v>
      </c>
      <c r="CP5">
        <f>90.08472929</f>
        <v>90.084729289999999</v>
      </c>
      <c r="CQ5">
        <f>89.50581186</f>
        <v>89.505811859999994</v>
      </c>
      <c r="CR5">
        <f>88.83357338</f>
        <v>88.833573380000004</v>
      </c>
      <c r="CS5">
        <f>88.53082768</f>
        <v>88.530827680000002</v>
      </c>
      <c r="CT5">
        <f>88.87790804</f>
        <v>88.877908039999994</v>
      </c>
      <c r="CU5">
        <f>88.58648571</f>
        <v>88.586485710000005</v>
      </c>
      <c r="CV5">
        <f>88.41380878</f>
        <v>88.413808779999997</v>
      </c>
      <c r="CW5">
        <f>89.52934283</f>
        <v>89.529342830000004</v>
      </c>
      <c r="CX5">
        <f>91.55911385</f>
        <v>91.559113850000003</v>
      </c>
      <c r="CY5">
        <f>91.57230731</f>
        <v>91.572307309999999</v>
      </c>
      <c r="CZ5">
        <f>91.61967703</f>
        <v>91.619677030000005</v>
      </c>
      <c r="DA5">
        <f>91.56403454</f>
        <v>91.564034539999994</v>
      </c>
      <c r="DB5">
        <f>92.9368129</f>
        <v>92.936812900000007</v>
      </c>
      <c r="DC5">
        <f>93.32697633</f>
        <v>93.326976329999994</v>
      </c>
      <c r="DD5">
        <f>93.26392134</f>
        <v>93.263921339999996</v>
      </c>
      <c r="DE5">
        <f>93.10580267</f>
        <v>93.105802670000003</v>
      </c>
      <c r="DF5">
        <f>93.51378505</f>
        <v>93.513785049999996</v>
      </c>
      <c r="DG5">
        <f>93.20920805</f>
        <v>93.209208050000001</v>
      </c>
      <c r="DH5">
        <f>92.90044795</f>
        <v>92.90044795</v>
      </c>
      <c r="DI5">
        <f>92.59644466</f>
        <v>92.596444660000003</v>
      </c>
      <c r="DJ5">
        <f>92.80130816</f>
        <v>92.801308160000005</v>
      </c>
      <c r="DK5">
        <f>91.61960539</f>
        <v>91.619605390000004</v>
      </c>
      <c r="DL5">
        <f>91.82258038</f>
        <v>91.822580380000005</v>
      </c>
      <c r="DM5">
        <f>92.0606729</f>
        <v>92.0606729</v>
      </c>
      <c r="DN5">
        <f>92.10341483</f>
        <v>92.103414830000006</v>
      </c>
      <c r="DO5">
        <f>91.55147712</f>
        <v>91.551477120000001</v>
      </c>
      <c r="DP5">
        <f>91.32250152</f>
        <v>91.322501520000003</v>
      </c>
      <c r="DQ5">
        <f>90.99388058</f>
        <v>90.993880579999995</v>
      </c>
      <c r="DR5">
        <f>90.00084305</f>
        <v>90.00084305</v>
      </c>
      <c r="DS5">
        <f>90.25346421</f>
        <v>90.253464210000004</v>
      </c>
      <c r="DT5">
        <f>90.04678381</f>
        <v>90.046783809999994</v>
      </c>
      <c r="DU5">
        <f>89.52278424</f>
        <v>89.522784239999993</v>
      </c>
    </row>
    <row r="6" spans="1:125">
      <c r="A6" t="str">
        <f>"    工业房地产投资信托总营运现金流"</f>
        <v xml:space="preserve">    工业房地产投资信托总营运现金流</v>
      </c>
      <c r="B6" t="str">
        <f>"RECFFOIN Index"</f>
        <v>RECFFOIN Index</v>
      </c>
      <c r="C6" t="str">
        <f>"PR005"</f>
        <v>PR005</v>
      </c>
      <c r="D6" t="str">
        <f>"PX_LAST"</f>
        <v>PX_LAST</v>
      </c>
      <c r="E6" t="str">
        <f>"动态"</f>
        <v>动态</v>
      </c>
      <c r="F6">
        <f ca="1">IF(AND(ISNUMBER($F$35),$B$28=1),$F$35,HLOOKUP(INDIRECT(ADDRESS(2,COLUMN())),OFFSET($BN$2,0,0,ROW()-1,60),ROW()-1,FALSE))</f>
        <v>941.42862930000001</v>
      </c>
      <c r="G6">
        <f ca="1">IF(AND(ISNUMBER($G$35),$B$28=1),$G$35,HLOOKUP(INDIRECT(ADDRESS(2,COLUMN())),OFFSET($BN$2,0,0,ROW()-1,60),ROW()-1,FALSE))</f>
        <v>987.04499999999996</v>
      </c>
      <c r="H6">
        <f ca="1">IF(AND(ISNUMBER($H$35),$B$28=1),$H$35,HLOOKUP(INDIRECT(ADDRESS(2,COLUMN())),OFFSET($BN$2,0,0,ROW()-1,60),ROW()-1,FALSE))</f>
        <v>953.74599999999998</v>
      </c>
      <c r="I6">
        <f ca="1">IF(AND(ISNUMBER($I$35),$B$28=1),$I$35,HLOOKUP(INDIRECT(ADDRESS(2,COLUMN())),OFFSET($BN$2,0,0,ROW()-1,60),ROW()-1,FALSE))</f>
        <v>838.072</v>
      </c>
      <c r="J6">
        <f ca="1">IF(AND(ISNUMBER($J$35),$B$28=1),$J$35,HLOOKUP(INDIRECT(ADDRESS(2,COLUMN())),OFFSET($BN$2,0,0,ROW()-1,60),ROW()-1,FALSE))</f>
        <v>983.11699999999996</v>
      </c>
      <c r="K6">
        <f ca="1">IF(AND(ISNUMBER($K$35),$B$28=1),$K$35,HLOOKUP(INDIRECT(ADDRESS(2,COLUMN())),OFFSET($BN$2,0,0,ROW()-1,60),ROW()-1,FALSE))</f>
        <v>911.86699999999996</v>
      </c>
      <c r="L6">
        <f ca="1">IF(AND(ISNUMBER($L$35),$B$28=1),$L$35,HLOOKUP(INDIRECT(ADDRESS(2,COLUMN())),OFFSET($BN$2,0,0,ROW()-1,60),ROW()-1,FALSE))</f>
        <v>789.13499999999999</v>
      </c>
      <c r="M6">
        <f ca="1">IF(AND(ISNUMBER($M$35),$B$28=1),$M$35,HLOOKUP(INDIRECT(ADDRESS(2,COLUMN())),OFFSET($BN$2,0,0,ROW()-1,60),ROW()-1,FALSE))</f>
        <v>804.00400000000002</v>
      </c>
      <c r="N6">
        <f ca="1">IF(AND(ISNUMBER($N$35),$B$28=1),$N$35,HLOOKUP(INDIRECT(ADDRESS(2,COLUMN())),OFFSET($BN$2,0,0,ROW()-1,60),ROW()-1,FALSE))</f>
        <v>730.12900000000002</v>
      </c>
      <c r="O6">
        <f ca="1">IF(AND(ISNUMBER($O$35),$B$28=1),$O$35,HLOOKUP(INDIRECT(ADDRESS(2,COLUMN())),OFFSET($BN$2,0,0,ROW()-1,60),ROW()-1,FALSE))</f>
        <v>854.38400000000001</v>
      </c>
      <c r="P6">
        <f ca="1">IF(AND(ISNUMBER($P$35),$B$28=1),$P$35,HLOOKUP(INDIRECT(ADDRESS(2,COLUMN())),OFFSET($BN$2,0,0,ROW()-1,60),ROW()-1,FALSE))</f>
        <v>678.02800000000002</v>
      </c>
      <c r="Q6">
        <f ca="1">IF(AND(ISNUMBER($Q$35),$B$28=1),$Q$35,HLOOKUP(INDIRECT(ADDRESS(2,COLUMN())),OFFSET($BN$2,0,0,ROW()-1,60),ROW()-1,FALSE))</f>
        <v>699.601</v>
      </c>
      <c r="R6">
        <f ca="1">IF(AND(ISNUMBER($R$35),$B$28=1),$R$35,HLOOKUP(INDIRECT(ADDRESS(2,COLUMN())),OFFSET($BN$2,0,0,ROW()-1,60),ROW()-1,FALSE))</f>
        <v>664.72400000000005</v>
      </c>
      <c r="S6">
        <f ca="1">IF(AND(ISNUMBER($S$35),$B$28=1),$S$35,HLOOKUP(INDIRECT(ADDRESS(2,COLUMN())),OFFSET($BN$2,0,0,ROW()-1,60),ROW()-1,FALSE))</f>
        <v>683.58900000000006</v>
      </c>
      <c r="T6">
        <f ca="1">IF(AND(ISNUMBER($T$35),$B$28=1),$T$35,HLOOKUP(INDIRECT(ADDRESS(2,COLUMN())),OFFSET($BN$2,0,0,ROW()-1,60),ROW()-1,FALSE))</f>
        <v>592.63400000000001</v>
      </c>
      <c r="U6">
        <f ca="1">IF(AND(ISNUMBER($U$35),$B$28=1),$U$35,HLOOKUP(INDIRECT(ADDRESS(2,COLUMN())),OFFSET($BN$2,0,0,ROW()-1,60),ROW()-1,FALSE))</f>
        <v>559.09199999999998</v>
      </c>
      <c r="V6">
        <f ca="1">IF(AND(ISNUMBER($V$35),$B$28=1),$V$35,HLOOKUP(INDIRECT(ADDRESS(2,COLUMN())),OFFSET($BN$2,0,0,ROW()-1,60),ROW()-1,FALSE))</f>
        <v>575.00800000000004</v>
      </c>
      <c r="W6">
        <f ca="1">IF(AND(ISNUMBER($W$35),$B$28=1),$W$35,HLOOKUP(INDIRECT(ADDRESS(2,COLUMN())),OFFSET($BN$2,0,0,ROW()-1,60),ROW()-1,FALSE))</f>
        <v>456.00200000000001</v>
      </c>
      <c r="X6">
        <f ca="1">IF(AND(ISNUMBER($X$35),$B$28=1),$X$35,HLOOKUP(INDIRECT(ADDRESS(2,COLUMN())),OFFSET($BN$2,0,0,ROW()-1,60),ROW()-1,FALSE))</f>
        <v>506.23599999999999</v>
      </c>
      <c r="Y6">
        <f ca="1">IF(AND(ISNUMBER($Y$35),$B$28=1),$Y$35,HLOOKUP(INDIRECT(ADDRESS(2,COLUMN())),OFFSET($BN$2,0,0,ROW()-1,60),ROW()-1,FALSE))</f>
        <v>684.92</v>
      </c>
      <c r="Z6">
        <f ca="1">IF(AND(ISNUMBER($Z$35),$B$28=1),$Z$35,HLOOKUP(INDIRECT(ADDRESS(2,COLUMN())),OFFSET($BN$2,0,0,ROW()-1,60),ROW()-1,FALSE))</f>
        <v>226.102</v>
      </c>
      <c r="AA6">
        <f ca="1">IF(AND(ISNUMBER($AA$35),$B$28=1),$AA$35,HLOOKUP(INDIRECT(ADDRESS(2,COLUMN())),OFFSET($BN$2,0,0,ROW()-1,60),ROW()-1,FALSE))</f>
        <v>506.22399999999999</v>
      </c>
      <c r="AB6">
        <f ca="1">IF(AND(ISNUMBER($AB$35),$B$28=1),$AB$35,HLOOKUP(INDIRECT(ADDRESS(2,COLUMN())),OFFSET($BN$2,0,0,ROW()-1,60),ROW()-1,FALSE))</f>
        <v>454.44400000000002</v>
      </c>
      <c r="AC6">
        <f ca="1">IF(AND(ISNUMBER($AC$35),$B$28=1),$AC$35,HLOOKUP(INDIRECT(ADDRESS(2,COLUMN())),OFFSET($BN$2,0,0,ROW()-1,60),ROW()-1,FALSE))</f>
        <v>523.572</v>
      </c>
      <c r="AD6">
        <f ca="1">IF(AND(ISNUMBER($AD$35),$B$28=1),$AD$35,HLOOKUP(INDIRECT(ADDRESS(2,COLUMN())),OFFSET($BN$2,0,0,ROW()-1,60),ROW()-1,FALSE))</f>
        <v>427.488</v>
      </c>
      <c r="AE6">
        <f ca="1">IF(AND(ISNUMBER($AE$35),$B$28=1),$AE$35,HLOOKUP(INDIRECT(ADDRESS(2,COLUMN())),OFFSET($BN$2,0,0,ROW()-1,60),ROW()-1,FALSE))</f>
        <v>549.35299999999995</v>
      </c>
      <c r="AF6">
        <f ca="1">IF(AND(ISNUMBER($AF$35),$B$28=1),$AF$35,HLOOKUP(INDIRECT(ADDRESS(2,COLUMN())),OFFSET($BN$2,0,0,ROW()-1,60),ROW()-1,FALSE))</f>
        <v>281.76499999999999</v>
      </c>
      <c r="AG6">
        <f ca="1">IF(AND(ISNUMBER($AG$35),$B$28=1),$AG$35,HLOOKUP(INDIRECT(ADDRESS(2,COLUMN())),OFFSET($BN$2,0,0,ROW()-1,60),ROW()-1,FALSE))</f>
        <v>387.286</v>
      </c>
      <c r="AH6">
        <f ca="1">IF(AND(ISNUMBER($AH$35),$B$28=1),$AH$35,HLOOKUP(INDIRECT(ADDRESS(2,COLUMN())),OFFSET($BN$2,0,0,ROW()-1,60),ROW()-1,FALSE))</f>
        <v>-846.13900000000001</v>
      </c>
      <c r="AI6">
        <f ca="1">IF(AND(ISNUMBER($AI$35),$B$28=1),$AI$35,HLOOKUP(INDIRECT(ADDRESS(2,COLUMN())),OFFSET($BN$2,0,0,ROW()-1,60),ROW()-1,FALSE))</f>
        <v>326.12549999999999</v>
      </c>
      <c r="AJ6">
        <f ca="1">IF(AND(ISNUMBER($AJ$35),$B$28=1),$AJ$35,HLOOKUP(INDIRECT(ADDRESS(2,COLUMN())),OFFSET($BN$2,0,0,ROW()-1,60),ROW()-1,FALSE))</f>
        <v>362.79</v>
      </c>
      <c r="AK6">
        <f ca="1">IF(AND(ISNUMBER($AK$35),$B$28=1),$AK$35,HLOOKUP(INDIRECT(ADDRESS(2,COLUMN())),OFFSET($BN$2,0,0,ROW()-1,60),ROW()-1,FALSE))</f>
        <v>294.01400000000001</v>
      </c>
      <c r="AL6">
        <f ca="1">IF(AND(ISNUMBER($AL$35),$B$28=1),$AL$35,HLOOKUP(INDIRECT(ADDRESS(2,COLUMN())),OFFSET($BN$2,0,0,ROW()-1,60),ROW()-1,FALSE))</f>
        <v>6.8280000000000003</v>
      </c>
      <c r="AM6">
        <f ca="1">IF(AND(ISNUMBER($AM$35),$B$28=1),$AM$35,HLOOKUP(INDIRECT(ADDRESS(2,COLUMN())),OFFSET($BN$2,0,0,ROW()-1,60),ROW()-1,FALSE))</f>
        <v>159.416</v>
      </c>
      <c r="AN6">
        <f ca="1">IF(AND(ISNUMBER($AN$35),$B$28=1),$AN$35,HLOOKUP(INDIRECT(ADDRESS(2,COLUMN())),OFFSET($BN$2,0,0,ROW()-1,60),ROW()-1,FALSE))</f>
        <v>468.43700000000001</v>
      </c>
      <c r="AO6">
        <f ca="1">IF(AND(ISNUMBER($AO$35),$B$28=1),$AO$35,HLOOKUP(INDIRECT(ADDRESS(2,COLUMN())),OFFSET($BN$2,0,0,ROW()-1,60),ROW()-1,FALSE))</f>
        <v>534.30600000000004</v>
      </c>
      <c r="AP6">
        <f ca="1">IF(AND(ISNUMBER($AP$35),$B$28=1),$AP$35,HLOOKUP(INDIRECT(ADDRESS(2,COLUMN())),OFFSET($BN$2,0,0,ROW()-1,60),ROW()-1,FALSE))</f>
        <v>-688.18399999999997</v>
      </c>
      <c r="AQ6">
        <f ca="1">IF(AND(ISNUMBER($AQ$35),$B$28=1),$AQ$35,HLOOKUP(INDIRECT(ADDRESS(2,COLUMN())),OFFSET($BN$2,0,0,ROW()-1,60),ROW()-1,FALSE))</f>
        <v>510.108</v>
      </c>
      <c r="AR6">
        <f ca="1">IF(AND(ISNUMBER($AR$35),$B$28=1),$AR$35,HLOOKUP(INDIRECT(ADDRESS(2,COLUMN())),OFFSET($BN$2,0,0,ROW()-1,60),ROW()-1,FALSE))</f>
        <v>708.95600000000002</v>
      </c>
      <c r="AS6">
        <f ca="1">IF(AND(ISNUMBER($AS$35),$B$28=1),$AS$35,HLOOKUP(INDIRECT(ADDRESS(2,COLUMN())),OFFSET($BN$2,0,0,ROW()-1,60),ROW()-1,FALSE))</f>
        <v>634.42399999999998</v>
      </c>
      <c r="AT6">
        <f ca="1">IF(AND(ISNUMBER($AT$35),$B$28=1),$AT$35,HLOOKUP(INDIRECT(ADDRESS(2,COLUMN())),OFFSET($BN$2,0,0,ROW()-1,60),ROW()-1,FALSE))</f>
        <v>653.48450000000003</v>
      </c>
      <c r="AU6">
        <f ca="1">IF(AND(ISNUMBER($AU$35),$B$28=1),$AU$35,HLOOKUP(INDIRECT(ADDRESS(2,COLUMN())),OFFSET($BN$2,0,0,ROW()-1,60),ROW()-1,FALSE))</f>
        <v>727.87800000000004</v>
      </c>
      <c r="AV6">
        <f ca="1">IF(AND(ISNUMBER($AV$35),$B$28=1),$AV$35,HLOOKUP(INDIRECT(ADDRESS(2,COLUMN())),OFFSET($BN$2,0,0,ROW()-1,60),ROW()-1,FALSE))</f>
        <v>714.02099999999996</v>
      </c>
      <c r="AW6">
        <f ca="1">IF(AND(ISNUMBER($AW$35),$B$28=1),$AW$35,HLOOKUP(INDIRECT(ADDRESS(2,COLUMN())),OFFSET($BN$2,0,0,ROW()-1,60),ROW()-1,FALSE))</f>
        <v>668.79600000000005</v>
      </c>
      <c r="AX6">
        <f ca="1">IF(AND(ISNUMBER($AX$35),$B$28=1),$AX$35,HLOOKUP(INDIRECT(ADDRESS(2,COLUMN())),OFFSET($BN$2,0,0,ROW()-1,60),ROW()-1,FALSE))</f>
        <v>732.99099999999999</v>
      </c>
      <c r="AY6">
        <f ca="1">IF(AND(ISNUMBER($AY$35),$B$28=1),$AY$35,HLOOKUP(INDIRECT(ADDRESS(2,COLUMN())),OFFSET($BN$2,0,0,ROW()-1,60),ROW()-1,FALSE))</f>
        <v>565.20600000000002</v>
      </c>
      <c r="AZ6">
        <f ca="1">IF(AND(ISNUMBER($AZ$35),$B$28=1),$AZ$35,HLOOKUP(INDIRECT(ADDRESS(2,COLUMN())),OFFSET($BN$2,0,0,ROW()-1,60),ROW()-1,FALSE))</f>
        <v>573.476</v>
      </c>
      <c r="BA6">
        <f ca="1">IF(AND(ISNUMBER($BA$35),$B$28=1),$BA$35,HLOOKUP(INDIRECT(ADDRESS(2,COLUMN())),OFFSET($BN$2,0,0,ROW()-1,60),ROW()-1,FALSE))</f>
        <v>528.79499999999996</v>
      </c>
      <c r="BB6">
        <f ca="1">IF(AND(ISNUMBER($BB$35),$B$28=1),$BB$35,HLOOKUP(INDIRECT(ADDRESS(2,COLUMN())),OFFSET($BN$2,0,0,ROW()-1,60),ROW()-1,FALSE))</f>
        <v>517.46900000000005</v>
      </c>
      <c r="BC6">
        <f ca="1">IF(AND(ISNUMBER($BC$35),$B$28=1),$BC$35,HLOOKUP(INDIRECT(ADDRESS(2,COLUMN())),OFFSET($BN$2,0,0,ROW()-1,60),ROW()-1,FALSE))</f>
        <v>498.33300000000003</v>
      </c>
      <c r="BD6">
        <f ca="1">IF(AND(ISNUMBER($BD$35),$B$28=1),$BD$35,HLOOKUP(INDIRECT(ADDRESS(2,COLUMN())),OFFSET($BN$2,0,0,ROW()-1,60),ROW()-1,FALSE))</f>
        <v>523.06600000000003</v>
      </c>
      <c r="BE6">
        <f ca="1">IF(AND(ISNUMBER($BE$35),$B$28=1),$BE$35,HLOOKUP(INDIRECT(ADDRESS(2,COLUMN())),OFFSET($BN$2,0,0,ROW()-1,60),ROW()-1,FALSE))</f>
        <v>490.596</v>
      </c>
      <c r="BF6">
        <f ca="1">IF(AND(ISNUMBER($BF$35),$B$28=1),$BF$35,HLOOKUP(INDIRECT(ADDRESS(2,COLUMN())),OFFSET($BN$2,0,0,ROW()-1,60),ROW()-1,FALSE))</f>
        <v>489.25400000000002</v>
      </c>
      <c r="BG6">
        <f ca="1">IF(AND(ISNUMBER($BG$35),$B$28=1),$BG$35,HLOOKUP(INDIRECT(ADDRESS(2,COLUMN())),OFFSET($BN$2,0,0,ROW()-1,60),ROW()-1,FALSE))</f>
        <v>526.94500000000005</v>
      </c>
      <c r="BH6">
        <f ca="1">IF(AND(ISNUMBER($BH$35),$B$28=1),$BH$35,HLOOKUP(INDIRECT(ADDRESS(2,COLUMN())),OFFSET($BN$2,0,0,ROW()-1,60),ROW()-1,FALSE))</f>
        <v>495.08699999999999</v>
      </c>
      <c r="BI6">
        <f ca="1">IF(AND(ISNUMBER($BI$35),$B$28=1),$BI$35,HLOOKUP(INDIRECT(ADDRESS(2,COLUMN())),OFFSET($BN$2,0,0,ROW()-1,60),ROW()-1,FALSE))</f>
        <v>468.91399999999999</v>
      </c>
      <c r="BJ6">
        <f ca="1">IF(AND(ISNUMBER($BJ$35),$B$28=1),$BJ$35,HLOOKUP(INDIRECT(ADDRESS(2,COLUMN())),OFFSET($BN$2,0,0,ROW()-1,60),ROW()-1,FALSE))</f>
        <v>488.13900000000001</v>
      </c>
      <c r="BK6">
        <f ca="1">IF(AND(ISNUMBER($BK$35),$B$28=1),$BK$35,HLOOKUP(INDIRECT(ADDRESS(2,COLUMN())),OFFSET($BN$2,0,0,ROW()-1,60),ROW()-1,FALSE))</f>
        <v>373.62200000000001</v>
      </c>
      <c r="BL6">
        <f ca="1">IF(AND(ISNUMBER($BL$35),$B$28=1),$BL$35,HLOOKUP(INDIRECT(ADDRESS(2,COLUMN())),OFFSET($BN$2,0,0,ROW()-1,60),ROW()-1,FALSE))</f>
        <v>405.34300000000002</v>
      </c>
      <c r="BM6">
        <f ca="1">IF(AND(ISNUMBER($BM$35),$B$28=1),$BM$35,HLOOKUP(INDIRECT(ADDRESS(2,COLUMN())),OFFSET($BN$2,0,0,ROW()-1,60),ROW()-1,FALSE))</f>
        <v>413.11099999999999</v>
      </c>
      <c r="BN6">
        <f>941.4286293</f>
        <v>941.42862930000001</v>
      </c>
      <c r="BO6">
        <f>987.045</f>
        <v>987.04499999999996</v>
      </c>
      <c r="BP6">
        <f>953.746</f>
        <v>953.74599999999998</v>
      </c>
      <c r="BQ6">
        <f>838.072</f>
        <v>838.072</v>
      </c>
      <c r="BR6">
        <f>983.117</f>
        <v>983.11699999999996</v>
      </c>
      <c r="BS6">
        <f>911.867</f>
        <v>911.86699999999996</v>
      </c>
      <c r="BT6">
        <f>789.135</f>
        <v>789.13499999999999</v>
      </c>
      <c r="BU6">
        <f>804.004</f>
        <v>804.00400000000002</v>
      </c>
      <c r="BV6">
        <f>730.129</f>
        <v>730.12900000000002</v>
      </c>
      <c r="BW6">
        <f>854.384</f>
        <v>854.38400000000001</v>
      </c>
      <c r="BX6">
        <f>678.028</f>
        <v>678.02800000000002</v>
      </c>
      <c r="BY6">
        <f>699.601</f>
        <v>699.601</v>
      </c>
      <c r="BZ6">
        <f>664.724</f>
        <v>664.72400000000005</v>
      </c>
      <c r="CA6">
        <f>683.589</f>
        <v>683.58900000000006</v>
      </c>
      <c r="CB6">
        <f>592.634</f>
        <v>592.63400000000001</v>
      </c>
      <c r="CC6">
        <f>559.092</f>
        <v>559.09199999999998</v>
      </c>
      <c r="CD6">
        <f>575.008</f>
        <v>575.00800000000004</v>
      </c>
      <c r="CE6">
        <f>456.002</f>
        <v>456.00200000000001</v>
      </c>
      <c r="CF6">
        <f>506.236</f>
        <v>506.23599999999999</v>
      </c>
      <c r="CG6">
        <f>684.92</f>
        <v>684.92</v>
      </c>
      <c r="CH6">
        <f>226.102</f>
        <v>226.102</v>
      </c>
      <c r="CI6">
        <f>506.224</f>
        <v>506.22399999999999</v>
      </c>
      <c r="CJ6">
        <f>454.444</f>
        <v>454.44400000000002</v>
      </c>
      <c r="CK6">
        <f>523.572</f>
        <v>523.572</v>
      </c>
      <c r="CL6">
        <f>427.488</f>
        <v>427.488</v>
      </c>
      <c r="CM6">
        <f>549.353</f>
        <v>549.35299999999995</v>
      </c>
      <c r="CN6">
        <f>281.765</f>
        <v>281.76499999999999</v>
      </c>
      <c r="CO6">
        <f>387.286</f>
        <v>387.286</v>
      </c>
      <c r="CP6">
        <f>-846.139</f>
        <v>-846.13900000000001</v>
      </c>
      <c r="CQ6">
        <f>326.1255</f>
        <v>326.12549999999999</v>
      </c>
      <c r="CR6">
        <f>362.79</f>
        <v>362.79</v>
      </c>
      <c r="CS6">
        <f>294.014</f>
        <v>294.01400000000001</v>
      </c>
      <c r="CT6">
        <f>6.828</f>
        <v>6.8280000000000003</v>
      </c>
      <c r="CU6">
        <f>159.416</f>
        <v>159.416</v>
      </c>
      <c r="CV6">
        <f>468.437</f>
        <v>468.43700000000001</v>
      </c>
      <c r="CW6">
        <f>534.306</f>
        <v>534.30600000000004</v>
      </c>
      <c r="CX6">
        <f>-688.184</f>
        <v>-688.18399999999997</v>
      </c>
      <c r="CY6">
        <f>510.108</f>
        <v>510.108</v>
      </c>
      <c r="CZ6">
        <f>708.956</f>
        <v>708.95600000000002</v>
      </c>
      <c r="DA6">
        <f>634.424</f>
        <v>634.42399999999998</v>
      </c>
      <c r="DB6">
        <f>653.4845</f>
        <v>653.48450000000003</v>
      </c>
      <c r="DC6">
        <f>727.878</f>
        <v>727.87800000000004</v>
      </c>
      <c r="DD6">
        <f>714.021</f>
        <v>714.02099999999996</v>
      </c>
      <c r="DE6">
        <f>668.796</f>
        <v>668.79600000000005</v>
      </c>
      <c r="DF6">
        <f>732.991</f>
        <v>732.99099999999999</v>
      </c>
      <c r="DG6">
        <f>565.206</f>
        <v>565.20600000000002</v>
      </c>
      <c r="DH6">
        <f>573.476</f>
        <v>573.476</v>
      </c>
      <c r="DI6">
        <f>528.795</f>
        <v>528.79499999999996</v>
      </c>
      <c r="DJ6">
        <f>517.469</f>
        <v>517.46900000000005</v>
      </c>
      <c r="DK6">
        <f>498.333</f>
        <v>498.33300000000003</v>
      </c>
      <c r="DL6">
        <f>523.066</f>
        <v>523.06600000000003</v>
      </c>
      <c r="DM6">
        <f>490.596</f>
        <v>490.596</v>
      </c>
      <c r="DN6">
        <f>489.254</f>
        <v>489.25400000000002</v>
      </c>
      <c r="DO6">
        <f>526.945</f>
        <v>526.94500000000005</v>
      </c>
      <c r="DP6">
        <f>495.087</f>
        <v>495.08699999999999</v>
      </c>
      <c r="DQ6">
        <f>468.914</f>
        <v>468.91399999999999</v>
      </c>
      <c r="DR6">
        <f>488.139</f>
        <v>488.13900000000001</v>
      </c>
      <c r="DS6">
        <f>373.622</f>
        <v>373.62200000000001</v>
      </c>
      <c r="DT6">
        <f>405.343</f>
        <v>405.34300000000002</v>
      </c>
      <c r="DU6">
        <f>413.111</f>
        <v>413.11099999999999</v>
      </c>
    </row>
    <row r="7" spans="1:125">
      <c r="A7" t="str">
        <f>"    工业房地产投资信托净营业利润"</f>
        <v xml:space="preserve">    工业房地产投资信托净营业利润</v>
      </c>
      <c r="B7" t="str">
        <f>"RECFNOIN Index"</f>
        <v>RECFNOIN Index</v>
      </c>
      <c r="C7" t="str">
        <f>"PR005"</f>
        <v>PR005</v>
      </c>
      <c r="D7" t="str">
        <f>"PX_LAST"</f>
        <v>PX_LAST</v>
      </c>
      <c r="E7" t="str">
        <f>"动态"</f>
        <v>动态</v>
      </c>
      <c r="F7">
        <f ca="1">IF(AND(ISNUMBER($F$36),$B$28=1),$F$36,HLOOKUP(INDIRECT(ADDRESS(2,COLUMN())),OFFSET($BN$2,0,0,ROW()-1,60),ROW()-1,FALSE))</f>
        <v>1095.4873070000001</v>
      </c>
      <c r="G7">
        <f ca="1">IF(AND(ISNUMBER($G$36),$B$28=1),$G$36,HLOOKUP(INDIRECT(ADDRESS(2,COLUMN())),OFFSET($BN$2,0,0,ROW()-1,60),ROW()-1,FALSE))</f>
        <v>1076.732</v>
      </c>
      <c r="H7">
        <f ca="1">IF(AND(ISNUMBER($H$36),$B$28=1),$H$36,HLOOKUP(INDIRECT(ADDRESS(2,COLUMN())),OFFSET($BN$2,0,0,ROW()-1,60),ROW()-1,FALSE))</f>
        <v>1091.0550000000001</v>
      </c>
      <c r="I7">
        <f ca="1">IF(AND(ISNUMBER($I$36),$B$28=1),$I$36,HLOOKUP(INDIRECT(ADDRESS(2,COLUMN())),OFFSET($BN$2,0,0,ROW()-1,60),ROW()-1,FALSE))</f>
        <v>1093.0450000000001</v>
      </c>
      <c r="J7">
        <f ca="1">IF(AND(ISNUMBER($J$36),$B$28=1),$J$36,HLOOKUP(INDIRECT(ADDRESS(2,COLUMN())),OFFSET($BN$2,0,0,ROW()-1,60),ROW()-1,FALSE))</f>
        <v>1038.174</v>
      </c>
      <c r="K7">
        <f ca="1">IF(AND(ISNUMBER($K$36),$B$28=1),$K$36,HLOOKUP(INDIRECT(ADDRESS(2,COLUMN())),OFFSET($BN$2,0,0,ROW()-1,60),ROW()-1,FALSE))</f>
        <v>1079.3620000000001</v>
      </c>
      <c r="L7">
        <f ca="1">IF(AND(ISNUMBER($L$36),$B$28=1),$L$36,HLOOKUP(INDIRECT(ADDRESS(2,COLUMN())),OFFSET($BN$2,0,0,ROW()-1,60),ROW()-1,FALSE))</f>
        <v>1047.7650000000001</v>
      </c>
      <c r="M7">
        <f ca="1">IF(AND(ISNUMBER($M$36),$B$28=1),$M$36,HLOOKUP(INDIRECT(ADDRESS(2,COLUMN())),OFFSET($BN$2,0,0,ROW()-1,60),ROW()-1,FALSE))</f>
        <v>1035.105</v>
      </c>
      <c r="N7">
        <f ca="1">IF(AND(ISNUMBER($N$36),$B$28=1),$N$36,HLOOKUP(INDIRECT(ADDRESS(2,COLUMN())),OFFSET($BN$2,0,0,ROW()-1,60),ROW()-1,FALSE))</f>
        <v>1066.008</v>
      </c>
      <c r="O7">
        <f ca="1">IF(AND(ISNUMBER($O$36),$B$28=1),$O$36,HLOOKUP(INDIRECT(ADDRESS(2,COLUMN())),OFFSET($BN$2,0,0,ROW()-1,60),ROW()-1,FALSE))</f>
        <v>1058.3599999999999</v>
      </c>
      <c r="P7">
        <f ca="1">IF(AND(ISNUMBER($P$36),$B$28=1),$P$36,HLOOKUP(INDIRECT(ADDRESS(2,COLUMN())),OFFSET($BN$2,0,0,ROW()-1,60),ROW()-1,FALSE))</f>
        <v>1003.383</v>
      </c>
      <c r="Q7">
        <f ca="1">IF(AND(ISNUMBER($Q$36),$B$28=1),$Q$36,HLOOKUP(INDIRECT(ADDRESS(2,COLUMN())),OFFSET($BN$2,0,0,ROW()-1,60),ROW()-1,FALSE))</f>
        <v>943.47299999999996</v>
      </c>
      <c r="R7">
        <f ca="1">IF(AND(ISNUMBER($R$36),$B$28=1),$R$36,HLOOKUP(INDIRECT(ADDRESS(2,COLUMN())),OFFSET($BN$2,0,0,ROW()-1,60),ROW()-1,FALSE))</f>
        <v>942.37</v>
      </c>
      <c r="S7">
        <f ca="1">IF(AND(ISNUMBER($S$36),$B$28=1),$S$36,HLOOKUP(INDIRECT(ADDRESS(2,COLUMN())),OFFSET($BN$2,0,0,ROW()-1,60),ROW()-1,FALSE))</f>
        <v>900.01199999999994</v>
      </c>
      <c r="T7">
        <f ca="1">IF(AND(ISNUMBER($T$36),$B$28=1),$T$36,HLOOKUP(INDIRECT(ADDRESS(2,COLUMN())),OFFSET($BN$2,0,0,ROW()-1,60),ROW()-1,FALSE))</f>
        <v>903.86400000000003</v>
      </c>
      <c r="U7">
        <f ca="1">IF(AND(ISNUMBER($U$36),$B$28=1),$U$36,HLOOKUP(INDIRECT(ADDRESS(2,COLUMN())),OFFSET($BN$2,0,0,ROW()-1,60),ROW()-1,FALSE))</f>
        <v>884.75900000000001</v>
      </c>
      <c r="V7">
        <f ca="1">IF(AND(ISNUMBER($V$36),$B$28=1),$V$36,HLOOKUP(INDIRECT(ADDRESS(2,COLUMN())),OFFSET($BN$2,0,0,ROW()-1,60),ROW()-1,FALSE))</f>
        <v>883.947</v>
      </c>
      <c r="W7">
        <f ca="1">IF(AND(ISNUMBER($W$36),$B$28=1),$W$36,HLOOKUP(INDIRECT(ADDRESS(2,COLUMN())),OFFSET($BN$2,0,0,ROW()-1,60),ROW()-1,FALSE))</f>
        <v>856.65</v>
      </c>
      <c r="X7">
        <f ca="1">IF(AND(ISNUMBER($X$36),$B$28=1),$X$36,HLOOKUP(INDIRECT(ADDRESS(2,COLUMN())),OFFSET($BN$2,0,0,ROW()-1,60),ROW()-1,FALSE))</f>
        <v>828.85699999999997</v>
      </c>
      <c r="Y7">
        <f ca="1">IF(AND(ISNUMBER($Y$36),$B$28=1),$Y$36,HLOOKUP(INDIRECT(ADDRESS(2,COLUMN())),OFFSET($BN$2,0,0,ROW()-1,60),ROW()-1,FALSE))</f>
        <v>885.96600000000001</v>
      </c>
      <c r="Z7">
        <f ca="1">IF(AND(ISNUMBER($Z$36),$B$28=1),$Z$36,HLOOKUP(INDIRECT(ADDRESS(2,COLUMN())),OFFSET($BN$2,0,0,ROW()-1,60),ROW()-1,FALSE))</f>
        <v>913.76800000000003</v>
      </c>
      <c r="AA7">
        <f ca="1">IF(AND(ISNUMBER($AA$36),$B$28=1),$AA$36,HLOOKUP(INDIRECT(ADDRESS(2,COLUMN())),OFFSET($BN$2,0,0,ROW()-1,60),ROW()-1,FALSE))</f>
        <v>881.18700000000001</v>
      </c>
      <c r="AB7">
        <f ca="1">IF(AND(ISNUMBER($AB$36),$B$28=1),$AB$36,HLOOKUP(INDIRECT(ADDRESS(2,COLUMN())),OFFSET($BN$2,0,0,ROW()-1,60),ROW()-1,FALSE))</f>
        <v>888.35400000000004</v>
      </c>
      <c r="AC7">
        <f ca="1">IF(AND(ISNUMBER($AC$36),$B$28=1),$AC$36,HLOOKUP(INDIRECT(ADDRESS(2,COLUMN())),OFFSET($BN$2,0,0,ROW()-1,60),ROW()-1,FALSE))</f>
        <v>866.48199999999997</v>
      </c>
      <c r="AD7">
        <f ca="1">IF(AND(ISNUMBER($AD$36),$B$28=1),$AD$36,HLOOKUP(INDIRECT(ADDRESS(2,COLUMN())),OFFSET($BN$2,0,0,ROW()-1,60),ROW()-1,FALSE))</f>
        <v>823.97799999999995</v>
      </c>
      <c r="AE7">
        <f ca="1">IF(AND(ISNUMBER($AE$36),$B$28=1),$AE$36,HLOOKUP(INDIRECT(ADDRESS(2,COLUMN())),OFFSET($BN$2,0,0,ROW()-1,60),ROW()-1,FALSE))</f>
        <v>856.95600000000002</v>
      </c>
      <c r="AF7">
        <f ca="1">IF(AND(ISNUMBER($AF$36),$B$28=1),$AF$36,HLOOKUP(INDIRECT(ADDRESS(2,COLUMN())),OFFSET($BN$2,0,0,ROW()-1,60),ROW()-1,FALSE))</f>
        <v>726.34699999999998</v>
      </c>
      <c r="AG7">
        <f ca="1">IF(AND(ISNUMBER($AG$36),$B$28=1),$AG$36,HLOOKUP(INDIRECT(ADDRESS(2,COLUMN())),OFFSET($BN$2,0,0,ROW()-1,60),ROW()-1,FALSE))</f>
        <v>739.01099999999997</v>
      </c>
      <c r="AH7">
        <f ca="1">IF(AND(ISNUMBER($AH$36),$B$28=1),$AH$36,HLOOKUP(INDIRECT(ADDRESS(2,COLUMN())),OFFSET($BN$2,0,0,ROW()-1,60),ROW()-1,FALSE))</f>
        <v>753.15099999999995</v>
      </c>
      <c r="AI7">
        <f ca="1">IF(AND(ISNUMBER($AI$36),$B$28=1),$AI$36,HLOOKUP(INDIRECT(ADDRESS(2,COLUMN())),OFFSET($BN$2,0,0,ROW()-1,60),ROW()-1,FALSE))</f>
        <v>776.41150000000005</v>
      </c>
      <c r="AJ7">
        <f ca="1">IF(AND(ISNUMBER($AJ$36),$B$28=1),$AJ$36,HLOOKUP(INDIRECT(ADDRESS(2,COLUMN())),OFFSET($BN$2,0,0,ROW()-1,60),ROW()-1,FALSE))</f>
        <v>755.95699999999999</v>
      </c>
      <c r="AK7">
        <f ca="1">IF(AND(ISNUMBER($AK$36),$B$28=1),$AK$36,HLOOKUP(INDIRECT(ADDRESS(2,COLUMN())),OFFSET($BN$2,0,0,ROW()-1,60),ROW()-1,FALSE))</f>
        <v>743.93799999999999</v>
      </c>
      <c r="AL7">
        <f ca="1">IF(AND(ISNUMBER($AL$36),$B$28=1),$AL$36,HLOOKUP(INDIRECT(ADDRESS(2,COLUMN())),OFFSET($BN$2,0,0,ROW()-1,60),ROW()-1,FALSE))</f>
        <v>758.22699999999998</v>
      </c>
      <c r="AM7">
        <f ca="1">IF(AND(ISNUMBER($AM$36),$B$28=1),$AM$36,HLOOKUP(INDIRECT(ADDRESS(2,COLUMN())),OFFSET($BN$2,0,0,ROW()-1,60),ROW()-1,FALSE))</f>
        <v>749.61400000000003</v>
      </c>
      <c r="AN7">
        <f ca="1">IF(AND(ISNUMBER($AN$36),$B$28=1),$AN$36,HLOOKUP(INDIRECT(ADDRESS(2,COLUMN())),OFFSET($BN$2,0,0,ROW()-1,60),ROW()-1,FALSE))</f>
        <v>747.68200000000002</v>
      </c>
      <c r="AO7">
        <f ca="1">IF(AND(ISNUMBER($AO$36),$B$28=1),$AO$36,HLOOKUP(INDIRECT(ADDRESS(2,COLUMN())),OFFSET($BN$2,0,0,ROW()-1,60),ROW()-1,FALSE))</f>
        <v>972.64200000000005</v>
      </c>
      <c r="AP7">
        <f ca="1">IF(AND(ISNUMBER($AP$36),$B$28=1),$AP$36,HLOOKUP(INDIRECT(ADDRESS(2,COLUMN())),OFFSET($BN$2,0,0,ROW()-1,60),ROW()-1,FALSE))</f>
        <v>888.95399999999995</v>
      </c>
      <c r="AQ7">
        <f ca="1">IF(AND(ISNUMBER($AQ$36),$B$28=1),$AQ$36,HLOOKUP(INDIRECT(ADDRESS(2,COLUMN())),OFFSET($BN$2,0,0,ROW()-1,60),ROW()-1,FALSE))</f>
        <v>875.29100000000005</v>
      </c>
      <c r="AR7">
        <f ca="1">IF(AND(ISNUMBER($AR$36),$B$28=1),$AR$36,HLOOKUP(INDIRECT(ADDRESS(2,COLUMN())),OFFSET($BN$2,0,0,ROW()-1,60),ROW()-1,FALSE))</f>
        <v>1018.14</v>
      </c>
      <c r="AS7">
        <f ca="1">IF(AND(ISNUMBER($AS$36),$B$28=1),$AS$36,HLOOKUP(INDIRECT(ADDRESS(2,COLUMN())),OFFSET($BN$2,0,0,ROW()-1,60),ROW()-1,FALSE))</f>
        <v>1086.758</v>
      </c>
      <c r="AT7">
        <f ca="1">IF(AND(ISNUMBER($AT$36),$B$28=1),$AT$36,HLOOKUP(INDIRECT(ADDRESS(2,COLUMN())),OFFSET($BN$2,0,0,ROW()-1,60),ROW()-1,FALSE))</f>
        <v>921.79600000000005</v>
      </c>
      <c r="AU7">
        <f ca="1">IF(AND(ISNUMBER($AU$36),$B$28=1),$AU$36,HLOOKUP(INDIRECT(ADDRESS(2,COLUMN())),OFFSET($BN$2,0,0,ROW()-1,60),ROW()-1,FALSE))</f>
        <v>1090.5385000000001</v>
      </c>
      <c r="AV7">
        <f ca="1">IF(AND(ISNUMBER($AV$36),$B$28=1),$AV$36,HLOOKUP(INDIRECT(ADDRESS(2,COLUMN())),OFFSET($BN$2,0,0,ROW()-1,60),ROW()-1,FALSE))</f>
        <v>1027.5619999999999</v>
      </c>
      <c r="AW7">
        <f ca="1">IF(AND(ISNUMBER($AW$36),$B$28=1),$AW$36,HLOOKUP(INDIRECT(ADDRESS(2,COLUMN())),OFFSET($BN$2,0,0,ROW()-1,60),ROW()-1,FALSE))</f>
        <v>1033.223</v>
      </c>
      <c r="AX7">
        <f ca="1">IF(AND(ISNUMBER($AX$36),$B$28=1),$AX$36,HLOOKUP(INDIRECT(ADDRESS(2,COLUMN())),OFFSET($BN$2,0,0,ROW()-1,60),ROW()-1,FALSE))</f>
        <v>825.06799999999998</v>
      </c>
      <c r="AY7">
        <f ca="1">IF(AND(ISNUMBER($AY$36),$B$28=1),$AY$36,HLOOKUP(INDIRECT(ADDRESS(2,COLUMN())),OFFSET($BN$2,0,0,ROW()-1,60),ROW()-1,FALSE))</f>
        <v>842.33249999999998</v>
      </c>
      <c r="AZ7">
        <f ca="1">IF(AND(ISNUMBER($AZ$36),$B$28=1),$AZ$36,HLOOKUP(INDIRECT(ADDRESS(2,COLUMN())),OFFSET($BN$2,0,0,ROW()-1,60),ROW()-1,FALSE))</f>
        <v>843.70600000000002</v>
      </c>
      <c r="BA7">
        <f ca="1">IF(AND(ISNUMBER($BA$36),$B$28=1),$BA$36,HLOOKUP(INDIRECT(ADDRESS(2,COLUMN())),OFFSET($BN$2,0,0,ROW()-1,60),ROW()-1,FALSE))</f>
        <v>757.08600000000001</v>
      </c>
      <c r="BB7">
        <f ca="1">IF(AND(ISNUMBER($BB$36),$B$28=1),$BB$36,HLOOKUP(INDIRECT(ADDRESS(2,COLUMN())),OFFSET($BN$2,0,0,ROW()-1,60),ROW()-1,FALSE))</f>
        <v>743.12300000000005</v>
      </c>
      <c r="BC7">
        <f ca="1">IF(AND(ISNUMBER($BC$36),$B$28=1),$BC$36,HLOOKUP(INDIRECT(ADDRESS(2,COLUMN())),OFFSET($BN$2,0,0,ROW()-1,60),ROW()-1,FALSE))</f>
        <v>700.54399999999998</v>
      </c>
      <c r="BD7">
        <f ca="1">IF(AND(ISNUMBER($BD$36),$B$28=1),$BD$36,HLOOKUP(INDIRECT(ADDRESS(2,COLUMN())),OFFSET($BN$2,0,0,ROW()-1,60),ROW()-1,FALSE))</f>
        <v>756.63099999999997</v>
      </c>
      <c r="BE7">
        <f ca="1">IF(AND(ISNUMBER($BE$36),$B$28=1),$BE$36,HLOOKUP(INDIRECT(ADDRESS(2,COLUMN())),OFFSET($BN$2,0,0,ROW()-1,60),ROW()-1,FALSE))</f>
        <v>748.77099999999996</v>
      </c>
      <c r="BF7">
        <f ca="1">IF(AND(ISNUMBER($BF$36),$B$28=1),$BF$36,HLOOKUP(INDIRECT(ADDRESS(2,COLUMN())),OFFSET($BN$2,0,0,ROW()-1,60),ROW()-1,FALSE))</f>
        <v>784.54300000000001</v>
      </c>
      <c r="BG7">
        <f ca="1">IF(AND(ISNUMBER($BG$36),$B$28=1),$BG$36,HLOOKUP(INDIRECT(ADDRESS(2,COLUMN())),OFFSET($BN$2,0,0,ROW()-1,60),ROW()-1,FALSE))</f>
        <v>732.68499999999995</v>
      </c>
      <c r="BH7">
        <f ca="1">IF(AND(ISNUMBER($BH$36),$B$28=1),$BH$36,HLOOKUP(INDIRECT(ADDRESS(2,COLUMN())),OFFSET($BN$2,0,0,ROW()-1,60),ROW()-1,FALSE))</f>
        <v>726.78099999999995</v>
      </c>
      <c r="BI7">
        <f ca="1">IF(AND(ISNUMBER($BI$36),$B$28=1),$BI$36,HLOOKUP(INDIRECT(ADDRESS(2,COLUMN())),OFFSET($BN$2,0,0,ROW()-1,60),ROW()-1,FALSE))</f>
        <v>709.05600000000004</v>
      </c>
      <c r="BJ7">
        <f ca="1">IF(AND(ISNUMBER($BJ$36),$B$28=1),$BJ$36,HLOOKUP(INDIRECT(ADDRESS(2,COLUMN())),OFFSET($BN$2,0,0,ROW()-1,60),ROW()-1,FALSE))</f>
        <v>658.22550000000001</v>
      </c>
      <c r="BK7">
        <f ca="1">IF(AND(ISNUMBER($BK$36),$B$28=1),$BK$36,HLOOKUP(INDIRECT(ADDRESS(2,COLUMN())),OFFSET($BN$2,0,0,ROW()-1,60),ROW()-1,FALSE))</f>
        <v>625.88599999999997</v>
      </c>
      <c r="BL7">
        <f ca="1">IF(AND(ISNUMBER($BL$36),$B$28=1),$BL$36,HLOOKUP(INDIRECT(ADDRESS(2,COLUMN())),OFFSET($BN$2,0,0,ROW()-1,60),ROW()-1,FALSE))</f>
        <v>622.27599999999995</v>
      </c>
      <c r="BM7">
        <f ca="1">IF(AND(ISNUMBER($BM$36),$B$28=1),$BM$36,HLOOKUP(INDIRECT(ADDRESS(2,COLUMN())),OFFSET($BN$2,0,0,ROW()-1,60),ROW()-1,FALSE))</f>
        <v>612.03300000000002</v>
      </c>
      <c r="BN7">
        <f>1095.487307</f>
        <v>1095.4873070000001</v>
      </c>
      <c r="BO7">
        <f>1076.732</f>
        <v>1076.732</v>
      </c>
      <c r="BP7">
        <f>1091.055</f>
        <v>1091.0550000000001</v>
      </c>
      <c r="BQ7">
        <f>1093.045</f>
        <v>1093.0450000000001</v>
      </c>
      <c r="BR7">
        <f>1038.174</f>
        <v>1038.174</v>
      </c>
      <c r="BS7">
        <f>1079.362</f>
        <v>1079.3620000000001</v>
      </c>
      <c r="BT7">
        <f>1047.765</f>
        <v>1047.7650000000001</v>
      </c>
      <c r="BU7">
        <f>1035.105</f>
        <v>1035.105</v>
      </c>
      <c r="BV7">
        <f>1066.008</f>
        <v>1066.008</v>
      </c>
      <c r="BW7">
        <f>1058.36</f>
        <v>1058.3599999999999</v>
      </c>
      <c r="BX7">
        <f>1003.383</f>
        <v>1003.383</v>
      </c>
      <c r="BY7">
        <f>943.473</f>
        <v>943.47299999999996</v>
      </c>
      <c r="BZ7">
        <f>942.37</f>
        <v>942.37</v>
      </c>
      <c r="CA7">
        <f>900.012</f>
        <v>900.01199999999994</v>
      </c>
      <c r="CB7">
        <f>903.864</f>
        <v>903.86400000000003</v>
      </c>
      <c r="CC7">
        <f>884.759</f>
        <v>884.75900000000001</v>
      </c>
      <c r="CD7">
        <f>883.947</f>
        <v>883.947</v>
      </c>
      <c r="CE7">
        <f>856.65</f>
        <v>856.65</v>
      </c>
      <c r="CF7">
        <f>828.857</f>
        <v>828.85699999999997</v>
      </c>
      <c r="CG7">
        <f>885.966</f>
        <v>885.96600000000001</v>
      </c>
      <c r="CH7">
        <f>913.768</f>
        <v>913.76800000000003</v>
      </c>
      <c r="CI7">
        <f>881.187</f>
        <v>881.18700000000001</v>
      </c>
      <c r="CJ7">
        <f>888.354</f>
        <v>888.35400000000004</v>
      </c>
      <c r="CK7">
        <f>866.482</f>
        <v>866.48199999999997</v>
      </c>
      <c r="CL7">
        <f>823.978</f>
        <v>823.97799999999995</v>
      </c>
      <c r="CM7">
        <f>856.956</f>
        <v>856.95600000000002</v>
      </c>
      <c r="CN7">
        <f>726.347</f>
        <v>726.34699999999998</v>
      </c>
      <c r="CO7">
        <f>739.011</f>
        <v>739.01099999999997</v>
      </c>
      <c r="CP7">
        <f>753.151</f>
        <v>753.15099999999995</v>
      </c>
      <c r="CQ7">
        <f>776.4115</f>
        <v>776.41150000000005</v>
      </c>
      <c r="CR7">
        <f>755.957</f>
        <v>755.95699999999999</v>
      </c>
      <c r="CS7">
        <f>743.938</f>
        <v>743.93799999999999</v>
      </c>
      <c r="CT7">
        <f>758.227</f>
        <v>758.22699999999998</v>
      </c>
      <c r="CU7">
        <f>749.614</f>
        <v>749.61400000000003</v>
      </c>
      <c r="CV7">
        <f>747.682</f>
        <v>747.68200000000002</v>
      </c>
      <c r="CW7">
        <f>972.642</f>
        <v>972.64200000000005</v>
      </c>
      <c r="CX7">
        <f>888.954</f>
        <v>888.95399999999995</v>
      </c>
      <c r="CY7">
        <f>875.291</f>
        <v>875.29100000000005</v>
      </c>
      <c r="CZ7">
        <f>1018.14</f>
        <v>1018.14</v>
      </c>
      <c r="DA7">
        <f>1086.758</f>
        <v>1086.758</v>
      </c>
      <c r="DB7">
        <f>921.796</f>
        <v>921.79600000000005</v>
      </c>
      <c r="DC7">
        <f>1090.5385</f>
        <v>1090.5385000000001</v>
      </c>
      <c r="DD7">
        <f>1027.562</f>
        <v>1027.5619999999999</v>
      </c>
      <c r="DE7">
        <f>1033.223</f>
        <v>1033.223</v>
      </c>
      <c r="DF7">
        <f>825.068</f>
        <v>825.06799999999998</v>
      </c>
      <c r="DG7">
        <f>842.3325</f>
        <v>842.33249999999998</v>
      </c>
      <c r="DH7">
        <f>843.706</f>
        <v>843.70600000000002</v>
      </c>
      <c r="DI7">
        <f>757.086</f>
        <v>757.08600000000001</v>
      </c>
      <c r="DJ7">
        <f>743.123</f>
        <v>743.12300000000005</v>
      </c>
      <c r="DK7">
        <f>700.544</f>
        <v>700.54399999999998</v>
      </c>
      <c r="DL7">
        <f>756.631</f>
        <v>756.63099999999997</v>
      </c>
      <c r="DM7">
        <f>748.771</f>
        <v>748.77099999999996</v>
      </c>
      <c r="DN7">
        <f>784.543</f>
        <v>784.54300000000001</v>
      </c>
      <c r="DO7">
        <f>732.685</f>
        <v>732.68499999999995</v>
      </c>
      <c r="DP7">
        <f>726.781</f>
        <v>726.78099999999995</v>
      </c>
      <c r="DQ7">
        <f>709.056</f>
        <v>709.05600000000004</v>
      </c>
      <c r="DR7">
        <f>658.2255</f>
        <v>658.22550000000001</v>
      </c>
      <c r="DS7">
        <f>625.886</f>
        <v>625.88599999999997</v>
      </c>
      <c r="DT7">
        <f>622.276</f>
        <v>622.27599999999995</v>
      </c>
      <c r="DU7">
        <f>612.033</f>
        <v>612.03300000000002</v>
      </c>
    </row>
    <row r="8" spans="1:125">
      <c r="A8" t="str">
        <f>"    工业房地产投资信托总股利支付"</f>
        <v xml:space="preserve">    工业房地产投资信托总股利支付</v>
      </c>
      <c r="B8" t="str">
        <f>"RECFTDIN Index"</f>
        <v>RECFTDIN Index</v>
      </c>
      <c r="C8" t="str">
        <f>"PR005"</f>
        <v>PR005</v>
      </c>
      <c r="D8" t="str">
        <f>"PX_LAST"</f>
        <v>PX_LAST</v>
      </c>
      <c r="E8" t="str">
        <f>"动态"</f>
        <v>动态</v>
      </c>
      <c r="F8">
        <f ca="1">IF(AND(ISNUMBER($F$37),$B$28=1),$F$37,HLOOKUP(INDIRECT(ADDRESS(2,COLUMN())),OFFSET($BN$2,0,0,ROW()-1,60),ROW()-1,FALSE))</f>
        <v>952.89951659999997</v>
      </c>
      <c r="G8">
        <f ca="1">IF(AND(ISNUMBER($G$37),$B$28=1),$G$37,HLOOKUP(INDIRECT(ADDRESS(2,COLUMN())),OFFSET($BN$2,0,0,ROW()-1,60),ROW()-1,FALSE))</f>
        <v>598.84500000000003</v>
      </c>
      <c r="H8">
        <f ca="1">IF(AND(ISNUMBER($H$37),$B$28=1),$H$37,HLOOKUP(INDIRECT(ADDRESS(2,COLUMN())),OFFSET($BN$2,0,0,ROW()-1,60),ROW()-1,FALSE))</f>
        <v>619.97900000000004</v>
      </c>
      <c r="I8">
        <f ca="1">IF(AND(ISNUMBER($I$37),$B$28=1),$I$37,HLOOKUP(INDIRECT(ADDRESS(2,COLUMN())),OFFSET($BN$2,0,0,ROW()-1,60),ROW()-1,FALSE))</f>
        <v>596.33600000000001</v>
      </c>
      <c r="J8">
        <f ca="1">IF(AND(ISNUMBER($J$37),$B$28=1),$J$37,HLOOKUP(INDIRECT(ADDRESS(2,COLUMN())),OFFSET($BN$2,0,0,ROW()-1,60),ROW()-1,FALSE))</f>
        <v>586.47199999999998</v>
      </c>
      <c r="K8">
        <f ca="1">IF(AND(ISNUMBER($K$37),$B$28=1),$K$37,HLOOKUP(INDIRECT(ADDRESS(2,COLUMN())),OFFSET($BN$2,0,0,ROW()-1,60),ROW()-1,FALSE))</f>
        <v>618.12900000000002</v>
      </c>
      <c r="L8">
        <f ca="1">IF(AND(ISNUMBER($L$37),$B$28=1),$L$37,HLOOKUP(INDIRECT(ADDRESS(2,COLUMN())),OFFSET($BN$2,0,0,ROW()-1,60),ROW()-1,FALSE))</f>
        <v>661.03800000000001</v>
      </c>
      <c r="M8">
        <f ca="1">IF(AND(ISNUMBER($M$37),$B$28=1),$M$37,HLOOKUP(INDIRECT(ADDRESS(2,COLUMN())),OFFSET($BN$2,0,0,ROW()-1,60),ROW()-1,FALSE))</f>
        <v>594.875</v>
      </c>
      <c r="N8">
        <f ca="1">IF(AND(ISNUMBER($N$37),$B$28=1),$N$37,HLOOKUP(INDIRECT(ADDRESS(2,COLUMN())),OFFSET($BN$2,0,0,ROW()-1,60),ROW()-1,FALSE))</f>
        <v>637.02800000000002</v>
      </c>
      <c r="O8">
        <f ca="1">IF(AND(ISNUMBER($O$37),$B$28=1),$O$37,HLOOKUP(INDIRECT(ADDRESS(2,COLUMN())),OFFSET($BN$2,0,0,ROW()-1,60),ROW()-1,FALSE))</f>
        <v>637.91300000000001</v>
      </c>
      <c r="P8">
        <f ca="1">IF(AND(ISNUMBER($P$37),$B$28=1),$P$37,HLOOKUP(INDIRECT(ADDRESS(2,COLUMN())),OFFSET($BN$2,0,0,ROW()-1,60),ROW()-1,FALSE))</f>
        <v>503.65</v>
      </c>
      <c r="Q8">
        <f ca="1">IF(AND(ISNUMBER($Q$37),$B$28=1),$Q$37,HLOOKUP(INDIRECT(ADDRESS(2,COLUMN())),OFFSET($BN$2,0,0,ROW()-1,60),ROW()-1,FALSE))</f>
        <v>504.40100000000001</v>
      </c>
      <c r="R8">
        <f ca="1">IF(AND(ISNUMBER($R$37),$B$28=1),$R$37,HLOOKUP(INDIRECT(ADDRESS(2,COLUMN())),OFFSET($BN$2,0,0,ROW()-1,60),ROW()-1,FALSE))</f>
        <v>601.74400000000003</v>
      </c>
      <c r="S8">
        <f ca="1">IF(AND(ISNUMBER($S$37),$B$28=1),$S$37,HLOOKUP(INDIRECT(ADDRESS(2,COLUMN())),OFFSET($BN$2,0,0,ROW()-1,60),ROW()-1,FALSE))</f>
        <v>460.76799999999997</v>
      </c>
      <c r="T8">
        <f ca="1">IF(AND(ISNUMBER($T$37),$B$28=1),$T$37,HLOOKUP(INDIRECT(ADDRESS(2,COLUMN())),OFFSET($BN$2,0,0,ROW()-1,60),ROW()-1,FALSE))</f>
        <v>706.16399999999999</v>
      </c>
      <c r="U8">
        <f ca="1">IF(AND(ISNUMBER($U$37),$B$28=1),$U$37,HLOOKUP(INDIRECT(ADDRESS(2,COLUMN())),OFFSET($BN$2,0,0,ROW()-1,60),ROW()-1,FALSE))</f>
        <v>446.77100000000002</v>
      </c>
      <c r="V8">
        <f ca="1">IF(AND(ISNUMBER($V$37),$B$28=1),$V$37,HLOOKUP(INDIRECT(ADDRESS(2,COLUMN())),OFFSET($BN$2,0,0,ROW()-1,60),ROW()-1,FALSE))</f>
        <v>485.98399999999998</v>
      </c>
      <c r="W8">
        <f ca="1">IF(AND(ISNUMBER($W$37),$B$28=1),$W$37,HLOOKUP(INDIRECT(ADDRESS(2,COLUMN())),OFFSET($BN$2,0,0,ROW()-1,60),ROW()-1,FALSE))</f>
        <v>441.50900000000001</v>
      </c>
      <c r="X8">
        <f ca="1">IF(AND(ISNUMBER($X$37),$B$28=1),$X$37,HLOOKUP(INDIRECT(ADDRESS(2,COLUMN())),OFFSET($BN$2,0,0,ROW()-1,60),ROW()-1,FALSE))</f>
        <v>397.46499999999997</v>
      </c>
      <c r="Y8">
        <f ca="1">IF(AND(ISNUMBER($Y$37),$B$28=1),$Y$37,HLOOKUP(INDIRECT(ADDRESS(2,COLUMN())),OFFSET($BN$2,0,0,ROW()-1,60),ROW()-1,FALSE))</f>
        <v>379.072</v>
      </c>
      <c r="Z8">
        <f ca="1">IF(AND(ISNUMBER($Z$37),$B$28=1),$Z$37,HLOOKUP(INDIRECT(ADDRESS(2,COLUMN())),OFFSET($BN$2,0,0,ROW()-1,60),ROW()-1,FALSE))</f>
        <v>404.33800000000002</v>
      </c>
      <c r="AA8">
        <f ca="1">IF(AND(ISNUMBER($AA$37),$B$28=1),$AA$37,HLOOKUP(INDIRECT(ADDRESS(2,COLUMN())),OFFSET($BN$2,0,0,ROW()-1,60),ROW()-1,FALSE))</f>
        <v>376.084</v>
      </c>
      <c r="AB8">
        <f ca="1">IF(AND(ISNUMBER($AB$37),$B$28=1),$AB$37,HLOOKUP(INDIRECT(ADDRESS(2,COLUMN())),OFFSET($BN$2,0,0,ROW()-1,60),ROW()-1,FALSE))</f>
        <v>366.423</v>
      </c>
      <c r="AC8">
        <f ca="1">IF(AND(ISNUMBER($AC$37),$B$28=1),$AC$37,HLOOKUP(INDIRECT(ADDRESS(2,COLUMN())),OFFSET($BN$2,0,0,ROW()-1,60),ROW()-1,FALSE))</f>
        <v>359.02</v>
      </c>
      <c r="AD8">
        <f ca="1">IF(AND(ISNUMBER($AD$37),$B$28=1),$AD$37,HLOOKUP(INDIRECT(ADDRESS(2,COLUMN())),OFFSET($BN$2,0,0,ROW()-1,60),ROW()-1,FALSE))</f>
        <v>350.37200000000001</v>
      </c>
      <c r="AE8">
        <f ca="1">IF(AND(ISNUMBER($AE$37),$B$28=1),$AE$37,HLOOKUP(INDIRECT(ADDRESS(2,COLUMN())),OFFSET($BN$2,0,0,ROW()-1,60),ROW()-1,FALSE))</f>
        <v>363.67399999999998</v>
      </c>
      <c r="AF8">
        <f ca="1">IF(AND(ISNUMBER($AF$37),$B$28=1),$AF$37,HLOOKUP(INDIRECT(ADDRESS(2,COLUMN())),OFFSET($BN$2,0,0,ROW()-1,60),ROW()-1,FALSE))</f>
        <v>277.70499999999998</v>
      </c>
      <c r="AG8">
        <f ca="1">IF(AND(ISNUMBER($AG$37),$B$28=1),$AG$37,HLOOKUP(INDIRECT(ADDRESS(2,COLUMN())),OFFSET($BN$2,0,0,ROW()-1,60),ROW()-1,FALSE))</f>
        <v>377.38499999999999</v>
      </c>
      <c r="AH8">
        <f ca="1">IF(AND(ISNUMBER($AH$37),$B$28=1),$AH$37,HLOOKUP(INDIRECT(ADDRESS(2,COLUMN())),OFFSET($BN$2,0,0,ROW()-1,60),ROW()-1,FALSE))</f>
        <v>327.49200000000002</v>
      </c>
      <c r="AI8">
        <f ca="1">IF(AND(ISNUMBER($AI$37),$B$28=1),$AI$37,HLOOKUP(INDIRECT(ADDRESS(2,COLUMN())),OFFSET($BN$2,0,0,ROW()-1,60),ROW()-1,FALSE))</f>
        <v>333.37599999999998</v>
      </c>
      <c r="AJ8">
        <f ca="1">IF(AND(ISNUMBER($AJ$37),$B$28=1),$AJ$37,HLOOKUP(INDIRECT(ADDRESS(2,COLUMN())),OFFSET($BN$2,0,0,ROW()-1,60),ROW()-1,FALSE))</f>
        <v>326.214</v>
      </c>
      <c r="AK8">
        <f ca="1">IF(AND(ISNUMBER($AK$37),$B$28=1),$AK$37,HLOOKUP(INDIRECT(ADDRESS(2,COLUMN())),OFFSET($BN$2,0,0,ROW()-1,60),ROW()-1,FALSE))</f>
        <v>324.02</v>
      </c>
      <c r="AL8">
        <f ca="1">IF(AND(ISNUMBER($AL$37),$B$28=1),$AL$37,HLOOKUP(INDIRECT(ADDRESS(2,COLUMN())),OFFSET($BN$2,0,0,ROW()-1,60),ROW()-1,FALSE))</f>
        <v>322.26900000000001</v>
      </c>
      <c r="AM8">
        <f ca="1">IF(AND(ISNUMBER($AM$37),$B$28=1),$AM$37,HLOOKUP(INDIRECT(ADDRESS(2,COLUMN())),OFFSET($BN$2,0,0,ROW()-1,60),ROW()-1,FALSE))</f>
        <v>320.16899999999998</v>
      </c>
      <c r="AN8">
        <f ca="1">IF(AND(ISNUMBER($AN$37),$B$28=1),$AN$37,HLOOKUP(INDIRECT(ADDRESS(2,COLUMN())),OFFSET($BN$2,0,0,ROW()-1,60),ROW()-1,FALSE))</f>
        <v>313.83800000000002</v>
      </c>
      <c r="AO8">
        <f ca="1">IF(AND(ISNUMBER($AO$37),$B$28=1),$AO$37,HLOOKUP(INDIRECT(ADDRESS(2,COLUMN())),OFFSET($BN$2,0,0,ROW()-1,60),ROW()-1,FALSE))</f>
        <v>283.63799999999998</v>
      </c>
      <c r="AP8">
        <f ca="1">IF(AND(ISNUMBER($AP$37),$B$28=1),$AP$37,HLOOKUP(INDIRECT(ADDRESS(2,COLUMN())),OFFSET($BN$2,0,0,ROW()-1,60),ROW()-1,FALSE))</f>
        <v>480.99799999999999</v>
      </c>
      <c r="AQ8">
        <f ca="1">IF(AND(ISNUMBER($AQ$37),$B$28=1),$AQ$37,HLOOKUP(INDIRECT(ADDRESS(2,COLUMN())),OFFSET($BN$2,0,0,ROW()-1,60),ROW()-1,FALSE))</f>
        <v>510.55900000000003</v>
      </c>
      <c r="AR8">
        <f ca="1">IF(AND(ISNUMBER($AR$37),$B$28=1),$AR$37,HLOOKUP(INDIRECT(ADDRESS(2,COLUMN())),OFFSET($BN$2,0,0,ROW()-1,60),ROW()-1,FALSE))</f>
        <v>505.59699999999998</v>
      </c>
      <c r="AS8">
        <f ca="1">IF(AND(ISNUMBER($AS$37),$B$28=1),$AS$37,HLOOKUP(INDIRECT(ADDRESS(2,COLUMN())),OFFSET($BN$2,0,0,ROW()-1,60),ROW()-1,FALSE))</f>
        <v>512.09699999999998</v>
      </c>
      <c r="AT8">
        <f ca="1">IF(AND(ISNUMBER($AT$37),$B$28=1),$AT$37,HLOOKUP(INDIRECT(ADDRESS(2,COLUMN())),OFFSET($BN$2,0,0,ROW()-1,60),ROW()-1,FALSE))</f>
        <v>499.98950000000002</v>
      </c>
      <c r="AU8">
        <f ca="1">IF(AND(ISNUMBER($AU$37),$B$28=1),$AU$37,HLOOKUP(INDIRECT(ADDRESS(2,COLUMN())),OFFSET($BN$2,0,0,ROW()-1,60),ROW()-1,FALSE))</f>
        <v>496.52499999999998</v>
      </c>
      <c r="AV8">
        <f ca="1">IF(AND(ISNUMBER($AV$37),$B$28=1),$AV$37,HLOOKUP(INDIRECT(ADDRESS(2,COLUMN())),OFFSET($BN$2,0,0,ROW()-1,60),ROW()-1,FALSE))</f>
        <v>478.03100000000001</v>
      </c>
      <c r="AW8">
        <f ca="1">IF(AND(ISNUMBER($AW$37),$B$28=1),$AW$37,HLOOKUP(INDIRECT(ADDRESS(2,COLUMN())),OFFSET($BN$2,0,0,ROW()-1,60),ROW()-1,FALSE))</f>
        <v>505.76900000000001</v>
      </c>
      <c r="AX8">
        <f ca="1">IF(AND(ISNUMBER($AX$37),$B$28=1),$AX$37,HLOOKUP(INDIRECT(ADDRESS(2,COLUMN())),OFFSET($BN$2,0,0,ROW()-1,60),ROW()-1,FALSE))</f>
        <v>445.14100000000002</v>
      </c>
      <c r="AY8">
        <f ca="1">IF(AND(ISNUMBER($AY$37),$B$28=1),$AY$37,HLOOKUP(INDIRECT(ADDRESS(2,COLUMN())),OFFSET($BN$2,0,0,ROW()-1,60),ROW()-1,FALSE))</f>
        <v>435.80799999999999</v>
      </c>
      <c r="AZ8">
        <f ca="1">IF(AND(ISNUMBER($AZ$37),$B$28=1),$AZ$37,HLOOKUP(INDIRECT(ADDRESS(2,COLUMN())),OFFSET($BN$2,0,0,ROW()-1,60),ROW()-1,FALSE))</f>
        <v>396.416</v>
      </c>
      <c r="BA8">
        <f ca="1">IF(AND(ISNUMBER($BA$37),$B$28=1),$BA$37,HLOOKUP(INDIRECT(ADDRESS(2,COLUMN())),OFFSET($BN$2,0,0,ROW()-1,60),ROW()-1,FALSE))</f>
        <v>422.37799999999999</v>
      </c>
      <c r="BB8">
        <f ca="1">IF(AND(ISNUMBER($BB$37),$B$28=1),$BB$37,HLOOKUP(INDIRECT(ADDRESS(2,COLUMN())),OFFSET($BN$2,0,0,ROW()-1,60),ROW()-1,FALSE))</f>
        <v>836.88</v>
      </c>
      <c r="BC8">
        <f ca="1">IF(AND(ISNUMBER($BC$37),$B$28=1),$BC$37,HLOOKUP(INDIRECT(ADDRESS(2,COLUMN())),OFFSET($BN$2,0,0,ROW()-1,60),ROW()-1,FALSE))</f>
        <v>392.41500000000002</v>
      </c>
      <c r="BD8">
        <f ca="1">IF(AND(ISNUMBER($BD$37),$B$28=1),$BD$37,HLOOKUP(INDIRECT(ADDRESS(2,COLUMN())),OFFSET($BN$2,0,0,ROW()-1,60),ROW()-1,FALSE))</f>
        <v>437.25</v>
      </c>
      <c r="BE8">
        <f ca="1">IF(AND(ISNUMBER($BE$37),$B$28=1),$BE$37,HLOOKUP(INDIRECT(ADDRESS(2,COLUMN())),OFFSET($BN$2,0,0,ROW()-1,60),ROW()-1,FALSE))</f>
        <v>470.62599999999998</v>
      </c>
      <c r="BF8">
        <f ca="1">IF(AND(ISNUMBER($BF$37),$B$28=1),$BF$37,HLOOKUP(INDIRECT(ADDRESS(2,COLUMN())),OFFSET($BN$2,0,0,ROW()-1,60),ROW()-1,FALSE))</f>
        <v>418.99299999999999</v>
      </c>
      <c r="BG8">
        <f ca="1">IF(AND(ISNUMBER($BG$37),$B$28=1),$BG$37,HLOOKUP(INDIRECT(ADDRESS(2,COLUMN())),OFFSET($BN$2,0,0,ROW()-1,60),ROW()-1,FALSE))</f>
        <v>389.64400000000001</v>
      </c>
      <c r="BH8">
        <f ca="1">IF(AND(ISNUMBER($BH$37),$B$28=1),$BH$37,HLOOKUP(INDIRECT(ADDRESS(2,COLUMN())),OFFSET($BN$2,0,0,ROW()-1,60),ROW()-1,FALSE))</f>
        <v>398.86099999999999</v>
      </c>
      <c r="BI8">
        <f ca="1">IF(AND(ISNUMBER($BI$37),$B$28=1),$BI$37,HLOOKUP(INDIRECT(ADDRESS(2,COLUMN())),OFFSET($BN$2,0,0,ROW()-1,60),ROW()-1,FALSE))</f>
        <v>382.44799999999998</v>
      </c>
      <c r="BJ8">
        <f ca="1">IF(AND(ISNUMBER($BJ$37),$B$28=1),$BJ$37,HLOOKUP(INDIRECT(ADDRESS(2,COLUMN())),OFFSET($BN$2,0,0,ROW()-1,60),ROW()-1,FALSE))</f>
        <v>373.04450000000003</v>
      </c>
      <c r="BK8">
        <f ca="1">IF(AND(ISNUMBER($BK$37),$B$28=1),$BK$37,HLOOKUP(INDIRECT(ADDRESS(2,COLUMN())),OFFSET($BN$2,0,0,ROW()-1,60),ROW()-1,FALSE))</f>
        <v>393.74200000000002</v>
      </c>
      <c r="BL8">
        <f ca="1">IF(AND(ISNUMBER($BL$37),$B$28=1),$BL$37,HLOOKUP(INDIRECT(ADDRESS(2,COLUMN())),OFFSET($BN$2,0,0,ROW()-1,60),ROW()-1,FALSE))</f>
        <v>356.22199999999998</v>
      </c>
      <c r="BM8">
        <f ca="1">IF(AND(ISNUMBER($BM$37),$B$28=1),$BM$37,HLOOKUP(INDIRECT(ADDRESS(2,COLUMN())),OFFSET($BN$2,0,0,ROW()-1,60),ROW()-1,FALSE))</f>
        <v>351.95600000000002</v>
      </c>
      <c r="BN8">
        <f>952.8995166</f>
        <v>952.89951659999997</v>
      </c>
      <c r="BO8">
        <f>598.845</f>
        <v>598.84500000000003</v>
      </c>
      <c r="BP8">
        <f>619.979</f>
        <v>619.97900000000004</v>
      </c>
      <c r="BQ8">
        <f>596.336</f>
        <v>596.33600000000001</v>
      </c>
      <c r="BR8">
        <f>586.472</f>
        <v>586.47199999999998</v>
      </c>
      <c r="BS8">
        <f>618.129</f>
        <v>618.12900000000002</v>
      </c>
      <c r="BT8">
        <f>661.038</f>
        <v>661.03800000000001</v>
      </c>
      <c r="BU8">
        <f>594.875</f>
        <v>594.875</v>
      </c>
      <c r="BV8">
        <f>637.028</f>
        <v>637.02800000000002</v>
      </c>
      <c r="BW8">
        <f>637.913</f>
        <v>637.91300000000001</v>
      </c>
      <c r="BX8">
        <f>503.65</f>
        <v>503.65</v>
      </c>
      <c r="BY8">
        <f>504.401</f>
        <v>504.40100000000001</v>
      </c>
      <c r="BZ8">
        <f>601.744</f>
        <v>601.74400000000003</v>
      </c>
      <c r="CA8">
        <f>460.768</f>
        <v>460.76799999999997</v>
      </c>
      <c r="CB8">
        <f>706.164</f>
        <v>706.16399999999999</v>
      </c>
      <c r="CC8">
        <f>446.771</f>
        <v>446.77100000000002</v>
      </c>
      <c r="CD8">
        <f>485.984</f>
        <v>485.98399999999998</v>
      </c>
      <c r="CE8">
        <f>441.509</f>
        <v>441.50900000000001</v>
      </c>
      <c r="CF8">
        <f>397.465</f>
        <v>397.46499999999997</v>
      </c>
      <c r="CG8">
        <f>379.072</f>
        <v>379.072</v>
      </c>
      <c r="CH8">
        <f>404.338</f>
        <v>404.33800000000002</v>
      </c>
      <c r="CI8">
        <f>376.084</f>
        <v>376.084</v>
      </c>
      <c r="CJ8">
        <f>366.423</f>
        <v>366.423</v>
      </c>
      <c r="CK8">
        <f>359.02</f>
        <v>359.02</v>
      </c>
      <c r="CL8">
        <f>350.372</f>
        <v>350.37200000000001</v>
      </c>
      <c r="CM8">
        <f>363.674</f>
        <v>363.67399999999998</v>
      </c>
      <c r="CN8">
        <f>277.705</f>
        <v>277.70499999999998</v>
      </c>
      <c r="CO8">
        <f>377.385</f>
        <v>377.38499999999999</v>
      </c>
      <c r="CP8">
        <f>327.492</f>
        <v>327.49200000000002</v>
      </c>
      <c r="CQ8">
        <f>333.376</f>
        <v>333.37599999999998</v>
      </c>
      <c r="CR8">
        <f>326.214</f>
        <v>326.214</v>
      </c>
      <c r="CS8">
        <f>324.02</f>
        <v>324.02</v>
      </c>
      <c r="CT8">
        <f>322.269</f>
        <v>322.26900000000001</v>
      </c>
      <c r="CU8">
        <f>320.169</f>
        <v>320.16899999999998</v>
      </c>
      <c r="CV8">
        <f>313.838</f>
        <v>313.83800000000002</v>
      </c>
      <c r="CW8">
        <f>283.638</f>
        <v>283.63799999999998</v>
      </c>
      <c r="CX8">
        <f>480.998</f>
        <v>480.99799999999999</v>
      </c>
      <c r="CY8">
        <f>510.559</f>
        <v>510.55900000000003</v>
      </c>
      <c r="CZ8">
        <f>505.597</f>
        <v>505.59699999999998</v>
      </c>
      <c r="DA8">
        <f>512.097</f>
        <v>512.09699999999998</v>
      </c>
      <c r="DB8">
        <f>499.9895</f>
        <v>499.98950000000002</v>
      </c>
      <c r="DC8">
        <f>496.525</f>
        <v>496.52499999999998</v>
      </c>
      <c r="DD8">
        <f>478.031</f>
        <v>478.03100000000001</v>
      </c>
      <c r="DE8">
        <f>505.769</f>
        <v>505.76900000000001</v>
      </c>
      <c r="DF8">
        <f>445.141</f>
        <v>445.14100000000002</v>
      </c>
      <c r="DG8">
        <f>435.808</f>
        <v>435.80799999999999</v>
      </c>
      <c r="DH8">
        <f>396.416</f>
        <v>396.416</v>
      </c>
      <c r="DI8">
        <f>422.378</f>
        <v>422.37799999999999</v>
      </c>
      <c r="DJ8">
        <f>836.88</f>
        <v>836.88</v>
      </c>
      <c r="DK8">
        <f>392.415</f>
        <v>392.41500000000002</v>
      </c>
      <c r="DL8">
        <f>437.25</f>
        <v>437.25</v>
      </c>
      <c r="DM8">
        <f>470.626</f>
        <v>470.62599999999998</v>
      </c>
      <c r="DN8">
        <f>418.993</f>
        <v>418.99299999999999</v>
      </c>
      <c r="DO8">
        <f>389.644</f>
        <v>389.64400000000001</v>
      </c>
      <c r="DP8">
        <f>398.861</f>
        <v>398.86099999999999</v>
      </c>
      <c r="DQ8">
        <f>382.448</f>
        <v>382.44799999999998</v>
      </c>
      <c r="DR8">
        <f>373.0445</f>
        <v>373.04450000000003</v>
      </c>
      <c r="DS8">
        <f>393.742</f>
        <v>393.74200000000002</v>
      </c>
      <c r="DT8">
        <f>356.222</f>
        <v>356.22199999999998</v>
      </c>
      <c r="DU8">
        <f>351.956</f>
        <v>351.95600000000002</v>
      </c>
    </row>
    <row r="9" spans="1:125">
      <c r="A9" t="str">
        <f>"    工业房地产投资信托总收购"</f>
        <v xml:space="preserve">    工业房地产投资信托总收购</v>
      </c>
      <c r="B9" t="str">
        <f>"RECFTAIN Index"</f>
        <v>RECFTAIN Index</v>
      </c>
      <c r="E9" t="str">
        <f>"Expression"</f>
        <v>Expression</v>
      </c>
      <c r="F9">
        <f ca="1">IF(AND($B$28=1,LEN($F$30)&gt;0),$F$30*1000,HLOOKUP(INDIRECT(ADDRESS(2,COLUMN())),OFFSET($BN$2,0,0,ROW()-1,60),ROW()-1,FALSE))</f>
        <v>1248.002</v>
      </c>
      <c r="G9">
        <f ca="1">IF(AND($B$28=1,LEN($G$30)&gt;0),$G$30*1000,HLOOKUP(INDIRECT(ADDRESS(2,COLUMN())),OFFSET($BN$2,0,0,ROW()-1,60),ROW()-1,FALSE))</f>
        <v>1230.4259999999999</v>
      </c>
      <c r="H9">
        <f ca="1">IF(AND($B$28=1,LEN($H$30)&gt;0),$H$30*1000,HLOOKUP(INDIRECT(ADDRESS(2,COLUMN())),OFFSET($BN$2,0,0,ROW()-1,60),ROW()-1,FALSE))</f>
        <v>1104.2829999999999</v>
      </c>
      <c r="I9">
        <f ca="1">IF(AND($B$28=1,LEN($I$30)&gt;0),$I$30*1000,HLOOKUP(INDIRECT(ADDRESS(2,COLUMN())),OFFSET($BN$2,0,0,ROW()-1,60),ROW()-1,FALSE))</f>
        <v>456.57100000000003</v>
      </c>
      <c r="J9">
        <f ca="1">IF(AND($B$28=1,LEN($J$30)&gt;0),$J$30*1000,HLOOKUP(INDIRECT(ADDRESS(2,COLUMN())),OFFSET($BN$2,0,0,ROW()-1,60),ROW()-1,FALSE))</f>
        <v>843.21799999999996</v>
      </c>
      <c r="K9">
        <f ca="1">IF(AND($B$28=1,LEN($K$30)&gt;0),$K$30*1000,HLOOKUP(INDIRECT(ADDRESS(2,COLUMN())),OFFSET($BN$2,0,0,ROW()-1,60),ROW()-1,FALSE))</f>
        <v>494.06400000000002</v>
      </c>
      <c r="L9">
        <f ca="1">IF(AND($B$28=1,LEN($L$30)&gt;0),$L$30*1000,HLOOKUP(INDIRECT(ADDRESS(2,COLUMN())),OFFSET($BN$2,0,0,ROW()-1,60),ROW()-1,FALSE))</f>
        <v>535.07399999999996</v>
      </c>
      <c r="M9">
        <f ca="1">IF(AND($B$28=1,LEN($M$30)&gt;0),$M$30*1000,HLOOKUP(INDIRECT(ADDRESS(2,COLUMN())),OFFSET($BN$2,0,0,ROW()-1,60),ROW()-1,FALSE))</f>
        <v>185.18100000000001</v>
      </c>
      <c r="N9">
        <f ca="1">IF(AND($B$28=1,LEN($N$30)&gt;0),$N$30*1000,HLOOKUP(INDIRECT(ADDRESS(2,COLUMN())),OFFSET($BN$2,0,0,ROW()-1,60),ROW()-1,FALSE))</f>
        <v>1103.277</v>
      </c>
      <c r="O9">
        <f ca="1">IF(AND($B$28=1,LEN($O$30)&gt;0),$O$30*1000,HLOOKUP(INDIRECT(ADDRESS(2,COLUMN())),OFFSET($BN$2,0,0,ROW()-1,60),ROW()-1,FALSE))</f>
        <v>721.71900000000005</v>
      </c>
      <c r="P9">
        <f ca="1">IF(AND($B$28=1,LEN($P$30)&gt;0),$P$30*1000,HLOOKUP(INDIRECT(ADDRESS(2,COLUMN())),OFFSET($BN$2,0,0,ROW()-1,60),ROW()-1,FALSE))</f>
        <v>6296.9939999999997</v>
      </c>
      <c r="Q9">
        <f ca="1">IF(AND($B$28=1,LEN($Q$30)&gt;0),$Q$30*1000,HLOOKUP(INDIRECT(ADDRESS(2,COLUMN())),OFFSET($BN$2,0,0,ROW()-1,60),ROW()-1,FALSE))</f>
        <v>612.98500000000001</v>
      </c>
      <c r="R9">
        <f ca="1">IF(AND($B$28=1,LEN($R$30)&gt;0),$R$30*1000,HLOOKUP(INDIRECT(ADDRESS(2,COLUMN())),OFFSET($BN$2,0,0,ROW()-1,60),ROW()-1,FALSE))</f>
        <v>917.46400000000006</v>
      </c>
      <c r="S9">
        <f ca="1">IF(AND($B$28=1,LEN($S$30)&gt;0),$S$30*1000,HLOOKUP(INDIRECT(ADDRESS(2,COLUMN())),OFFSET($BN$2,0,0,ROW()-1,60),ROW()-1,FALSE))</f>
        <v>1456.0509999999999</v>
      </c>
      <c r="T9">
        <f ca="1">IF(AND($B$28=1,LEN($T$30)&gt;0),$T$30*1000,HLOOKUP(INDIRECT(ADDRESS(2,COLUMN())),OFFSET($BN$2,0,0,ROW()-1,60),ROW()-1,FALSE))</f>
        <v>838.41200000000003</v>
      </c>
      <c r="U9">
        <f ca="1">IF(AND($B$28=1,LEN($U$30)&gt;0),$U$30*1000,HLOOKUP(INDIRECT(ADDRESS(2,COLUMN())),OFFSET($BN$2,0,0,ROW()-1,60),ROW()-1,FALSE))</f>
        <v>594.15499999999997</v>
      </c>
      <c r="V9">
        <f ca="1">IF(AND($B$28=1,LEN($V$30)&gt;0),$V$30*1000,HLOOKUP(INDIRECT(ADDRESS(2,COLUMN())),OFFSET($BN$2,0,0,ROW()-1,60),ROW()-1,FALSE))</f>
        <v>2615.4090000000001</v>
      </c>
      <c r="W9">
        <f ca="1">IF(AND($B$28=1,LEN($W$30)&gt;0),$W$30*1000,HLOOKUP(INDIRECT(ADDRESS(2,COLUMN())),OFFSET($BN$2,0,0,ROW()-1,60),ROW()-1,FALSE))</f>
        <v>894.61300000000006</v>
      </c>
      <c r="X9">
        <f ca="1">IF(AND($B$28=1,LEN($X$30)&gt;0),$X$30*1000,HLOOKUP(INDIRECT(ADDRESS(2,COLUMN())),OFFSET($BN$2,0,0,ROW()-1,60),ROW()-1,FALSE))</f>
        <v>1104.9639999999999</v>
      </c>
      <c r="Y9">
        <f ca="1">IF(AND($B$28=1,LEN($Y$30)&gt;0),$Y$30*1000,HLOOKUP(INDIRECT(ADDRESS(2,COLUMN())),OFFSET($BN$2,0,0,ROW()-1,60),ROW()-1,FALSE))</f>
        <v>159.01900000000001</v>
      </c>
      <c r="Z9">
        <f ca="1">IF(AND($B$28=1,LEN($Z$30)&gt;0),$Z$30*1000,HLOOKUP(INDIRECT(ADDRESS(2,COLUMN())),OFFSET($BN$2,0,0,ROW()-1,60),ROW()-1,FALSE))</f>
        <v>1534.7159999999999</v>
      </c>
      <c r="AA9">
        <f ca="1">IF(AND($B$28=1,LEN($AA$30)&gt;0),$AA$30*1000,HLOOKUP(INDIRECT(ADDRESS(2,COLUMN())),OFFSET($BN$2,0,0,ROW()-1,60),ROW()-1,FALSE))</f>
        <v>486.68700000000001</v>
      </c>
      <c r="AB9">
        <f ca="1">IF(AND($B$28=1,LEN($AB$30)&gt;0),$AB$30*1000,HLOOKUP(INDIRECT(ADDRESS(2,COLUMN())),OFFSET($BN$2,0,0,ROW()-1,60),ROW()-1,FALSE))</f>
        <v>476.416</v>
      </c>
      <c r="AC9">
        <f ca="1">IF(AND($B$28=1,LEN($AC$30)&gt;0),$AC$30*1000,HLOOKUP(INDIRECT(ADDRESS(2,COLUMN())),OFFSET($BN$2,0,0,ROW()-1,60),ROW()-1,FALSE))</f>
        <v>326.97199999999998</v>
      </c>
      <c r="AD9">
        <f ca="1">IF(AND($B$28=1,LEN($AD$30)&gt;0),$AD$30*1000,HLOOKUP(INDIRECT(ADDRESS(2,COLUMN())),OFFSET($BN$2,0,0,ROW()-1,60),ROW()-1,FALSE))</f>
        <v>1563.617</v>
      </c>
      <c r="AE9">
        <f ca="1">IF(AND($B$28=1,LEN($AE$30)&gt;0),$AE$30*1000,HLOOKUP(INDIRECT(ADDRESS(2,COLUMN())),OFFSET($BN$2,0,0,ROW()-1,60),ROW()-1,FALSE))</f>
        <v>562.05999999999995</v>
      </c>
      <c r="AF9">
        <f ca="1">IF(AND($B$28=1,LEN($AF$30)&gt;0),$AF$30*1000,HLOOKUP(INDIRECT(ADDRESS(2,COLUMN())),OFFSET($BN$2,0,0,ROW()-1,60),ROW()-1,FALSE))</f>
        <v>13002.709000000001</v>
      </c>
      <c r="AG9">
        <f ca="1">IF(AND($B$28=1,LEN($AG$30)&gt;0),$AG$30*1000,HLOOKUP(INDIRECT(ADDRESS(2,COLUMN())),OFFSET($BN$2,0,0,ROW()-1,60),ROW()-1,FALSE))</f>
        <v>348.26299999999998</v>
      </c>
      <c r="AH9">
        <f ca="1">IF(AND($B$28=1,LEN($AH$30)&gt;0),$AH$30*1000,HLOOKUP(INDIRECT(ADDRESS(2,COLUMN())),OFFSET($BN$2,0,0,ROW()-1,60),ROW()-1,FALSE))</f>
        <v>1161.8710000000001</v>
      </c>
      <c r="AI9">
        <f ca="1">IF(AND($B$28=1,LEN($AI$30)&gt;0),$AI$30*1000,HLOOKUP(INDIRECT(ADDRESS(2,COLUMN())),OFFSET($BN$2,0,0,ROW()-1,60),ROW()-1,FALSE))</f>
        <v>802.15899999999999</v>
      </c>
      <c r="AJ9">
        <f ca="1">IF(AND($B$28=1,LEN($AJ$30)&gt;0),$AJ$30*1000,HLOOKUP(INDIRECT(ADDRESS(2,COLUMN())),OFFSET($BN$2,0,0,ROW()-1,60),ROW()-1,FALSE))</f>
        <v>319.274</v>
      </c>
      <c r="AK9">
        <f ca="1">IF(AND($B$28=1,LEN($AK$30)&gt;0),$AK$30*1000,HLOOKUP(INDIRECT(ADDRESS(2,COLUMN())),OFFSET($BN$2,0,0,ROW()-1,60),ROW()-1,FALSE))</f>
        <v>155.33600000000001</v>
      </c>
      <c r="AL9">
        <f ca="1">IF(AND($B$28=1,LEN($AL$30)&gt;0),$AL$30*1000,HLOOKUP(INDIRECT(ADDRESS(2,COLUMN())),OFFSET($BN$2,0,0,ROW()-1,60),ROW()-1,FALSE))</f>
        <v>77.44</v>
      </c>
      <c r="AM9">
        <f ca="1">IF(AND($B$28=1,LEN($AM$30)&gt;0),$AM$30*1000,HLOOKUP(INDIRECT(ADDRESS(2,COLUMN())),OFFSET($BN$2,0,0,ROW()-1,60),ROW()-1,FALSE))</f>
        <v>25.663</v>
      </c>
      <c r="AN9">
        <f ca="1">IF(AND($B$28=1,LEN($AN$30)&gt;0),$AN$30*1000,HLOOKUP(INDIRECT(ADDRESS(2,COLUMN())),OFFSET($BN$2,0,0,ROW()-1,60),ROW()-1,FALSE))</f>
        <v>28.12</v>
      </c>
      <c r="AO9">
        <f ca="1">IF(AND($B$28=1,LEN($AO$30)&gt;0),$AO$30*1000,HLOOKUP(INDIRECT(ADDRESS(2,COLUMN())),OFFSET($BN$2,0,0,ROW()-1,60),ROW()-1,FALSE))</f>
        <v>0</v>
      </c>
      <c r="AP9">
        <f ca="1">IF(AND($B$28=1,LEN($AP$30)&gt;0),$AP$30*1000,HLOOKUP(INDIRECT(ADDRESS(2,COLUMN())),OFFSET($BN$2,0,0,ROW()-1,60),ROW()-1,FALSE))</f>
        <v>182.096</v>
      </c>
      <c r="AQ9">
        <f ca="1">IF(AND($B$28=1,LEN($AQ$30)&gt;0),$AQ$30*1000,HLOOKUP(INDIRECT(ADDRESS(2,COLUMN())),OFFSET($BN$2,0,0,ROW()-1,60),ROW()-1,FALSE))</f>
        <v>605.11099999999999</v>
      </c>
      <c r="AR9">
        <f ca="1">IF(AND($B$28=1,LEN($AR$30)&gt;0),$AR$30*1000,HLOOKUP(INDIRECT(ADDRESS(2,COLUMN())),OFFSET($BN$2,0,0,ROW()-1,60),ROW()-1,FALSE))</f>
        <v>596.31100000000004</v>
      </c>
      <c r="AS9">
        <f ca="1">IF(AND($B$28=1,LEN($AS$30)&gt;0),$AS$30*1000,HLOOKUP(INDIRECT(ADDRESS(2,COLUMN())),OFFSET($BN$2,0,0,ROW()-1,60),ROW()-1,FALSE))</f>
        <v>699.73800000000006</v>
      </c>
      <c r="AT9">
        <f ca="1">IF(AND($B$28=1,LEN($AT$30)&gt;0),$AT$30*1000,HLOOKUP(INDIRECT(ADDRESS(2,COLUMN())),OFFSET($BN$2,0,0,ROW()-1,60),ROW()-1,FALSE))</f>
        <v>1644.308</v>
      </c>
      <c r="AU9">
        <f ca="1">IF(AND($B$28=1,LEN($AU$30)&gt;0),$AU$30*1000,HLOOKUP(INDIRECT(ADDRESS(2,COLUMN())),OFFSET($BN$2,0,0,ROW()-1,60),ROW()-1,FALSE))</f>
        <v>3333.1419999999998</v>
      </c>
      <c r="AV9">
        <f ca="1">IF(AND($B$28=1,LEN($AV$30)&gt;0),$AV$30*1000,HLOOKUP(INDIRECT(ADDRESS(2,COLUMN())),OFFSET($BN$2,0,0,ROW()-1,60),ROW()-1,FALSE))</f>
        <v>1183.076</v>
      </c>
      <c r="AW9">
        <f ca="1">IF(AND($B$28=1,LEN($AW$30)&gt;0),$AW$30*1000,HLOOKUP(INDIRECT(ADDRESS(2,COLUMN())),OFFSET($BN$2,0,0,ROW()-1,60),ROW()-1,FALSE))</f>
        <v>1369.6179999999999</v>
      </c>
      <c r="AX9">
        <f ca="1">IF(AND($B$28=1,LEN($AX$30)&gt;0),$AX$30*1000,HLOOKUP(INDIRECT(ADDRESS(2,COLUMN())),OFFSET($BN$2,0,0,ROW()-1,60),ROW()-1,FALSE))</f>
        <v>979.31100000000004</v>
      </c>
      <c r="AY9">
        <f ca="1">IF(AND($B$28=1,LEN($AY$30)&gt;0),$AY$30*1000,HLOOKUP(INDIRECT(ADDRESS(2,COLUMN())),OFFSET($BN$2,0,0,ROW()-1,60),ROW()-1,FALSE))</f>
        <v>830.88400000000001</v>
      </c>
      <c r="AZ9">
        <f ca="1">IF(AND($B$28=1,LEN($AZ$30)&gt;0),$AZ$30*1000,HLOOKUP(INDIRECT(ADDRESS(2,COLUMN())),OFFSET($BN$2,0,0,ROW()-1,60),ROW()-1,FALSE))</f>
        <v>883.61699999999996</v>
      </c>
      <c r="BA9">
        <f ca="1">IF(AND($B$28=1,LEN($BA$30)&gt;0),$BA$30*1000,HLOOKUP(INDIRECT(ADDRESS(2,COLUMN())),OFFSET($BN$2,0,0,ROW()-1,60),ROW()-1,FALSE))</f>
        <v>1084.8789999999999</v>
      </c>
      <c r="BB9">
        <f ca="1">IF(AND($B$28=1,LEN($BB$30)&gt;0),$BB$30*1000,HLOOKUP(INDIRECT(ADDRESS(2,COLUMN())),OFFSET($BN$2,0,0,ROW()-1,60),ROW()-1,FALSE))</f>
        <v>1018.784</v>
      </c>
      <c r="BC9">
        <f ca="1">IF(AND($B$28=1,LEN($BC$30)&gt;0),$BC$30*1000,HLOOKUP(INDIRECT(ADDRESS(2,COLUMN())),OFFSET($BN$2,0,0,ROW()-1,60),ROW()-1,FALSE))</f>
        <v>4531.0510000000004</v>
      </c>
      <c r="BD9">
        <f ca="1">IF(AND($B$28=1,LEN($BD$30)&gt;0),$BD$30*1000,HLOOKUP(INDIRECT(ADDRESS(2,COLUMN())),OFFSET($BN$2,0,0,ROW()-1,60),ROW()-1,FALSE))</f>
        <v>760.39400000000001</v>
      </c>
      <c r="BE9">
        <f ca="1">IF(AND($B$28=1,LEN($BE$30)&gt;0),$BE$30*1000,HLOOKUP(INDIRECT(ADDRESS(2,COLUMN())),OFFSET($BN$2,0,0,ROW()-1,60),ROW()-1,FALSE))</f>
        <v>378.64299999999997</v>
      </c>
      <c r="BF9">
        <f ca="1">IF(AND($B$28=1,LEN($BF$30)&gt;0),$BF$30*1000,HLOOKUP(INDIRECT(ADDRESS(2,COLUMN())),OFFSET($BN$2,0,0,ROW()-1,60),ROW()-1,FALSE))</f>
        <v>606.60599999999999</v>
      </c>
      <c r="BG9">
        <f ca="1">IF(AND($B$28=1,LEN($BG$30)&gt;0),$BG$30*1000,HLOOKUP(INDIRECT(ADDRESS(2,COLUMN())),OFFSET($BN$2,0,0,ROW()-1,60),ROW()-1,FALSE))</f>
        <v>2757.7469999999998</v>
      </c>
      <c r="BH9">
        <f ca="1">IF(AND($B$28=1,LEN($BH$30)&gt;0),$BH$30*1000,HLOOKUP(INDIRECT(ADDRESS(2,COLUMN())),OFFSET($BN$2,0,0,ROW()-1,60),ROW()-1,FALSE))</f>
        <v>583.91499999999996</v>
      </c>
      <c r="BI9">
        <f ca="1">IF(AND($B$28=1,LEN($BI$30)&gt;0),$BI$30*1000,HLOOKUP(INDIRECT(ADDRESS(2,COLUMN())),OFFSET($BN$2,0,0,ROW()-1,60),ROW()-1,FALSE))</f>
        <v>497.69099999999997</v>
      </c>
      <c r="BJ9">
        <f ca="1">IF(AND($B$28=1,LEN($BJ$30)&gt;0),$BJ$30*1000,HLOOKUP(INDIRECT(ADDRESS(2,COLUMN())),OFFSET($BN$2,0,0,ROW()-1,60),ROW()-1,FALSE))</f>
        <v>141.202</v>
      </c>
      <c r="BK9">
        <f ca="1">IF(AND($B$28=1,LEN($BK$30)&gt;0),$BK$30*1000,HLOOKUP(INDIRECT(ADDRESS(2,COLUMN())),OFFSET($BN$2,0,0,ROW()-1,60),ROW()-1,FALSE))</f>
        <v>30.1</v>
      </c>
      <c r="BL9">
        <f ca="1">IF(AND($B$28=1,LEN($BL$30)&gt;0),$BL$30*1000,HLOOKUP(INDIRECT(ADDRESS(2,COLUMN())),OFFSET($BN$2,0,0,ROW()-1,60),ROW()-1,FALSE))</f>
        <v>110.6</v>
      </c>
      <c r="BM9">
        <f ca="1">IF(AND($B$28=1,LEN($BM$30)&gt;0),$BM$30*1000,HLOOKUP(INDIRECT(ADDRESS(2,COLUMN())),OFFSET($BN$2,0,0,ROW()-1,60),ROW()-1,FALSE))</f>
        <v>20.399999999999999</v>
      </c>
      <c r="BN9">
        <f>1248.002</f>
        <v>1248.002</v>
      </c>
      <c r="BO9">
        <f>1230.426</f>
        <v>1230.4259999999999</v>
      </c>
      <c r="BP9">
        <f>1104.283</f>
        <v>1104.2829999999999</v>
      </c>
      <c r="BQ9">
        <f>456.571</f>
        <v>456.57100000000003</v>
      </c>
      <c r="BR9">
        <f>843.218</f>
        <v>843.21799999999996</v>
      </c>
      <c r="BS9">
        <f>494.064</f>
        <v>494.06400000000002</v>
      </c>
      <c r="BT9">
        <f>535.074</f>
        <v>535.07399999999996</v>
      </c>
      <c r="BU9">
        <f>185.181</f>
        <v>185.18100000000001</v>
      </c>
      <c r="BV9">
        <f>1103.277</f>
        <v>1103.277</v>
      </c>
      <c r="BW9">
        <f>721.719</f>
        <v>721.71900000000005</v>
      </c>
      <c r="BX9">
        <f>6296.994</f>
        <v>6296.9939999999997</v>
      </c>
      <c r="BY9">
        <f>612.985</f>
        <v>612.98500000000001</v>
      </c>
      <c r="BZ9">
        <f>917.464</f>
        <v>917.46400000000006</v>
      </c>
      <c r="CA9">
        <f>1456.051</f>
        <v>1456.0509999999999</v>
      </c>
      <c r="CB9">
        <f>838.412</f>
        <v>838.41200000000003</v>
      </c>
      <c r="CC9">
        <f>594.155</f>
        <v>594.15499999999997</v>
      </c>
      <c r="CD9">
        <f>2615.409</f>
        <v>2615.4090000000001</v>
      </c>
      <c r="CE9">
        <f>894.613</f>
        <v>894.61300000000006</v>
      </c>
      <c r="CF9">
        <f>1104.964</f>
        <v>1104.9639999999999</v>
      </c>
      <c r="CG9">
        <f>159.019</f>
        <v>159.01900000000001</v>
      </c>
      <c r="CH9">
        <f>1534.716</f>
        <v>1534.7159999999999</v>
      </c>
      <c r="CI9">
        <f>486.687</f>
        <v>486.68700000000001</v>
      </c>
      <c r="CJ9">
        <f>476.416</f>
        <v>476.416</v>
      </c>
      <c r="CK9">
        <f>326.972</f>
        <v>326.97199999999998</v>
      </c>
      <c r="CL9">
        <f>1563.617</f>
        <v>1563.617</v>
      </c>
      <c r="CM9">
        <f>562.06</f>
        <v>562.05999999999995</v>
      </c>
      <c r="CN9">
        <f>13002.709</f>
        <v>13002.709000000001</v>
      </c>
      <c r="CO9">
        <f>348.263</f>
        <v>348.26299999999998</v>
      </c>
      <c r="CP9">
        <f>1161.871</f>
        <v>1161.8710000000001</v>
      </c>
      <c r="CQ9">
        <f>802.159</f>
        <v>802.15899999999999</v>
      </c>
      <c r="CR9">
        <f>319.274</f>
        <v>319.274</v>
      </c>
      <c r="CS9">
        <f>155.336</f>
        <v>155.33600000000001</v>
      </c>
      <c r="CT9">
        <f>77.44</f>
        <v>77.44</v>
      </c>
      <c r="CU9">
        <f>25.663</f>
        <v>25.663</v>
      </c>
      <c r="CV9">
        <f>28.12</f>
        <v>28.12</v>
      </c>
      <c r="CW9">
        <f>0</f>
        <v>0</v>
      </c>
      <c r="CX9">
        <f>182.096</f>
        <v>182.096</v>
      </c>
      <c r="CY9">
        <f>605.111</f>
        <v>605.11099999999999</v>
      </c>
      <c r="CZ9">
        <f>596.311</f>
        <v>596.31100000000004</v>
      </c>
      <c r="DA9">
        <f>699.738</f>
        <v>699.73800000000006</v>
      </c>
      <c r="DB9">
        <f>1644.308</f>
        <v>1644.308</v>
      </c>
      <c r="DC9">
        <f>3333.142</f>
        <v>3333.1419999999998</v>
      </c>
      <c r="DD9">
        <f>1183.076</f>
        <v>1183.076</v>
      </c>
      <c r="DE9">
        <f>1369.618</f>
        <v>1369.6179999999999</v>
      </c>
      <c r="DF9">
        <f>979.311</f>
        <v>979.31100000000004</v>
      </c>
      <c r="DG9">
        <f>830.884</f>
        <v>830.88400000000001</v>
      </c>
      <c r="DH9">
        <f>883.617</f>
        <v>883.61699999999996</v>
      </c>
      <c r="DI9">
        <f>1084.879</f>
        <v>1084.8789999999999</v>
      </c>
      <c r="DJ9">
        <f>1018.784</f>
        <v>1018.784</v>
      </c>
      <c r="DK9">
        <f>4531.051</f>
        <v>4531.0510000000004</v>
      </c>
      <c r="DL9">
        <f>760.394</f>
        <v>760.39400000000001</v>
      </c>
      <c r="DM9">
        <f>378.643</f>
        <v>378.64299999999997</v>
      </c>
      <c r="DN9">
        <f>606.606</f>
        <v>606.60599999999999</v>
      </c>
      <c r="DO9">
        <f>2757.747</f>
        <v>2757.7469999999998</v>
      </c>
      <c r="DP9">
        <f>583.915</f>
        <v>583.91499999999996</v>
      </c>
      <c r="DQ9">
        <f>497.691</f>
        <v>497.69099999999997</v>
      </c>
      <c r="DR9">
        <f>141.202</f>
        <v>141.202</v>
      </c>
      <c r="DS9">
        <f>30.1</f>
        <v>30.1</v>
      </c>
      <c r="DT9">
        <f>110.6</f>
        <v>110.6</v>
      </c>
      <c r="DU9">
        <f>20.4</f>
        <v>20.399999999999999</v>
      </c>
    </row>
    <row r="10" spans="1:125">
      <c r="A10" t="str">
        <f>"    工业房地产投资信托总处置"</f>
        <v xml:space="preserve">    工业房地产投资信托总处置</v>
      </c>
      <c r="B10" t="str">
        <f>"RECFDSIN Index"</f>
        <v>RECFDSIN Index</v>
      </c>
      <c r="E10" t="str">
        <f>"Expression"</f>
        <v>Expression</v>
      </c>
      <c r="F10">
        <f ca="1">IF(AND($B$28=1,LEN($F$31)&gt;0),$F$31*1000,HLOOKUP(INDIRECT(ADDRESS(2,COLUMN())),OFFSET($BN$2,0,0,ROW()-1,60),ROW()-1,FALSE))</f>
        <v>1687.569</v>
      </c>
      <c r="G10">
        <f ca="1">IF(AND($B$28=1,LEN($G$31)&gt;0),$G$31*1000,HLOOKUP(INDIRECT(ADDRESS(2,COLUMN())),OFFSET($BN$2,0,0,ROW()-1,60),ROW()-1,FALSE))</f>
        <v>803.17100000000005</v>
      </c>
      <c r="H10">
        <f ca="1">IF(AND($B$28=1,LEN($H$31)&gt;0),$H$31*1000,HLOOKUP(INDIRECT(ADDRESS(2,COLUMN())),OFFSET($BN$2,0,0,ROW()-1,60),ROW()-1,FALSE))</f>
        <v>3293.2460000000001</v>
      </c>
      <c r="I10">
        <f ca="1">IF(AND($B$28=1,LEN($I$31)&gt;0),$I$31*1000,HLOOKUP(INDIRECT(ADDRESS(2,COLUMN())),OFFSET($BN$2,0,0,ROW()-1,60),ROW()-1,FALSE))</f>
        <v>364.00799999999998</v>
      </c>
      <c r="J10">
        <f ca="1">IF(AND($B$28=1,LEN($J$31)&gt;0),$J$31*1000,HLOOKUP(INDIRECT(ADDRESS(2,COLUMN())),OFFSET($BN$2,0,0,ROW()-1,60),ROW()-1,FALSE))</f>
        <v>1878.9349999999999</v>
      </c>
      <c r="K10">
        <f ca="1">IF(AND($B$28=1,LEN($K$31)&gt;0),$K$31*1000,HLOOKUP(INDIRECT(ADDRESS(2,COLUMN())),OFFSET($BN$2,0,0,ROW()-1,60),ROW()-1,FALSE))</f>
        <v>917.43899999999996</v>
      </c>
      <c r="L10">
        <f ca="1">IF(AND($B$28=1,LEN($L$31)&gt;0),$L$31*1000,HLOOKUP(INDIRECT(ADDRESS(2,COLUMN())),OFFSET($BN$2,0,0,ROW()-1,60),ROW()-1,FALSE))</f>
        <v>1127.3520000000001</v>
      </c>
      <c r="M10">
        <f ca="1">IF(AND($B$28=1,LEN($M$31)&gt;0),$M$31*1000,HLOOKUP(INDIRECT(ADDRESS(2,COLUMN())),OFFSET($BN$2,0,0,ROW()-1,60),ROW()-1,FALSE))</f>
        <v>812.69500000000005</v>
      </c>
      <c r="N10">
        <f ca="1">IF(AND($B$28=1,LEN($N$31)&gt;0),$N$31*1000,HLOOKUP(INDIRECT(ADDRESS(2,COLUMN())),OFFSET($BN$2,0,0,ROW()-1,60),ROW()-1,FALSE))</f>
        <v>1502.346</v>
      </c>
      <c r="O10">
        <f ca="1">IF(AND($B$28=1,LEN($O$31)&gt;0),$O$31*1000,HLOOKUP(INDIRECT(ADDRESS(2,COLUMN())),OFFSET($BN$2,0,0,ROW()-1,60),ROW()-1,FALSE))</f>
        <v>980.95799999999997</v>
      </c>
      <c r="P10">
        <f ca="1">IF(AND($B$28=1,LEN($P$31)&gt;0),$P$31*1000,HLOOKUP(INDIRECT(ADDRESS(2,COLUMN())),OFFSET($BN$2,0,0,ROW()-1,60),ROW()-1,FALSE))</f>
        <v>1807.7750000000001</v>
      </c>
      <c r="Q10">
        <f ca="1">IF(AND($B$28=1,LEN($Q$31)&gt;0),$Q$31*1000,HLOOKUP(INDIRECT(ADDRESS(2,COLUMN())),OFFSET($BN$2,0,0,ROW()-1,60),ROW()-1,FALSE))</f>
        <v>824.19500000000005</v>
      </c>
      <c r="R10">
        <f ca="1">IF(AND($B$28=1,LEN($R$31)&gt;0),$R$31*1000,HLOOKUP(INDIRECT(ADDRESS(2,COLUMN())),OFFSET($BN$2,0,0,ROW()-1,60),ROW()-1,FALSE))</f>
        <v>1397.99</v>
      </c>
      <c r="S10">
        <f ca="1">IF(AND($B$28=1,LEN($S$31)&gt;0),$S$31*1000,HLOOKUP(INDIRECT(ADDRESS(2,COLUMN())),OFFSET($BN$2,0,0,ROW()-1,60),ROW()-1,FALSE))</f>
        <v>721.43299999999999</v>
      </c>
      <c r="T10">
        <f ca="1">IF(AND($B$28=1,LEN($T$31)&gt;0),$T$31*1000,HLOOKUP(INDIRECT(ADDRESS(2,COLUMN())),OFFSET($BN$2,0,0,ROW()-1,60),ROW()-1,FALSE))</f>
        <v>996.07399999999996</v>
      </c>
      <c r="U10">
        <f ca="1">IF(AND($B$28=1,LEN($U$31)&gt;0),$U$31*1000,HLOOKUP(INDIRECT(ADDRESS(2,COLUMN())),OFFSET($BN$2,0,0,ROW()-1,60),ROW()-1,FALSE))</f>
        <v>565.15200000000004</v>
      </c>
      <c r="V10">
        <f ca="1">IF(AND($B$28=1,LEN($V$31)&gt;0),$V$31*1000,HLOOKUP(INDIRECT(ADDRESS(2,COLUMN())),OFFSET($BN$2,0,0,ROW()-1,60),ROW()-1,FALSE))</f>
        <v>1480.3689999999999</v>
      </c>
      <c r="W10">
        <f ca="1">IF(AND($B$28=1,LEN($W$31)&gt;0),$W$31*1000,HLOOKUP(INDIRECT(ADDRESS(2,COLUMN())),OFFSET($BN$2,0,0,ROW()-1,60),ROW()-1,FALSE))</f>
        <v>665.17200000000003</v>
      </c>
      <c r="X10">
        <f ca="1">IF(AND($B$28=1,LEN($X$31)&gt;0),$X$31*1000,HLOOKUP(INDIRECT(ADDRESS(2,COLUMN())),OFFSET($BN$2,0,0,ROW()-1,60),ROW()-1,FALSE))</f>
        <v>797.47</v>
      </c>
      <c r="Y10">
        <f ca="1">IF(AND($B$28=1,LEN($Y$31)&gt;0),$Y$31*1000,HLOOKUP(INDIRECT(ADDRESS(2,COLUMN())),OFFSET($BN$2,0,0,ROW()-1,60),ROW()-1,FALSE))</f>
        <v>508.904</v>
      </c>
      <c r="Z10">
        <f ca="1">IF(AND($B$28=1,LEN($Z$31)&gt;0),$Z$31*1000,HLOOKUP(INDIRECT(ADDRESS(2,COLUMN())),OFFSET($BN$2,0,0,ROW()-1,60),ROW()-1,FALSE))</f>
        <v>1033.579</v>
      </c>
      <c r="AA10">
        <f ca="1">IF(AND($B$28=1,LEN($AA$31)&gt;0),$AA$31*1000,HLOOKUP(INDIRECT(ADDRESS(2,COLUMN())),OFFSET($BN$2,0,0,ROW()-1,60),ROW()-1,FALSE))</f>
        <v>234.131</v>
      </c>
      <c r="AB10">
        <f ca="1">IF(AND($B$28=1,LEN($AB$31)&gt;0),$AB$31*1000,HLOOKUP(INDIRECT(ADDRESS(2,COLUMN())),OFFSET($BN$2,0,0,ROW()-1,60),ROW()-1,FALSE))</f>
        <v>450.608</v>
      </c>
      <c r="AC10">
        <f ca="1">IF(AND($B$28=1,LEN($AC$31)&gt;0),$AC$31*1000,HLOOKUP(INDIRECT(ADDRESS(2,COLUMN())),OFFSET($BN$2,0,0,ROW()-1,60),ROW()-1,FALSE))</f>
        <v>1059.0889999999999</v>
      </c>
      <c r="AD10">
        <f ca="1">IF(AND($B$28=1,LEN($AD$31)&gt;0),$AD$31*1000,HLOOKUP(INDIRECT(ADDRESS(2,COLUMN())),OFFSET($BN$2,0,0,ROW()-1,60),ROW()-1,FALSE))</f>
        <v>1593.972</v>
      </c>
      <c r="AE10">
        <f ca="1">IF(AND($B$28=1,LEN($AE$31)&gt;0),$AE$31*1000,HLOOKUP(INDIRECT(ADDRESS(2,COLUMN())),OFFSET($BN$2,0,0,ROW()-1,60),ROW()-1,FALSE))</f>
        <v>389.565</v>
      </c>
      <c r="AF10">
        <f ca="1">IF(AND($B$28=1,LEN($AF$31)&gt;0),$AF$31*1000,HLOOKUP(INDIRECT(ADDRESS(2,COLUMN())),OFFSET($BN$2,0,0,ROW()-1,60),ROW()-1,FALSE))</f>
        <v>473.12200000000001</v>
      </c>
      <c r="AG10">
        <f ca="1">IF(AND($B$28=1,LEN($AG$31)&gt;0),$AG$31*1000,HLOOKUP(INDIRECT(ADDRESS(2,COLUMN())),OFFSET($BN$2,0,0,ROW()-1,60),ROW()-1,FALSE))</f>
        <v>943.60400000000004</v>
      </c>
      <c r="AH10">
        <f ca="1">IF(AND($B$28=1,LEN($AH$31)&gt;0),$AH$31*1000,HLOOKUP(INDIRECT(ADDRESS(2,COLUMN())),OFFSET($BN$2,0,0,ROW()-1,60),ROW()-1,FALSE))</f>
        <v>1476.59</v>
      </c>
      <c r="AI10">
        <f ca="1">IF(AND($B$28=1,LEN($AI$31)&gt;0),$AI$31*1000,HLOOKUP(INDIRECT(ADDRESS(2,COLUMN())),OFFSET($BN$2,0,0,ROW()-1,60),ROW()-1,FALSE))</f>
        <v>443.41399999999999</v>
      </c>
      <c r="AJ10">
        <f ca="1">IF(AND($B$28=1,LEN($AJ$31)&gt;0),$AJ$31*1000,HLOOKUP(INDIRECT(ADDRESS(2,COLUMN())),OFFSET($BN$2,0,0,ROW()-1,60),ROW()-1,FALSE))</f>
        <v>146.49100000000001</v>
      </c>
      <c r="AK10">
        <f ca="1">IF(AND($B$28=1,LEN($AK$31)&gt;0),$AK$31*1000,HLOOKUP(INDIRECT(ADDRESS(2,COLUMN())),OFFSET($BN$2,0,0,ROW()-1,60),ROW()-1,FALSE))</f>
        <v>276.76</v>
      </c>
      <c r="AL10">
        <f ca="1">IF(AND($B$28=1,LEN($AL$31)&gt;0),$AL$31*1000,HLOOKUP(INDIRECT(ADDRESS(2,COLUMN())),OFFSET($BN$2,0,0,ROW()-1,60),ROW()-1,FALSE))</f>
        <v>620.74599999999998</v>
      </c>
      <c r="AM10">
        <f ca="1">IF(AND($B$28=1,LEN($AM$31)&gt;0),$AM$31*1000,HLOOKUP(INDIRECT(ADDRESS(2,COLUMN())),OFFSET($BN$2,0,0,ROW()-1,60),ROW()-1,FALSE))</f>
        <v>338.55599999999998</v>
      </c>
      <c r="AN10">
        <f ca="1">IF(AND($B$28=1,LEN($AN$31)&gt;0),$AN$31*1000,HLOOKUP(INDIRECT(ADDRESS(2,COLUMN())),OFFSET($BN$2,0,0,ROW()-1,60),ROW()-1,FALSE))</f>
        <v>1039.9760000000001</v>
      </c>
      <c r="AO10">
        <f ca="1">IF(AND($B$28=1,LEN($AO$31)&gt;0),$AO$31*1000,HLOOKUP(INDIRECT(ADDRESS(2,COLUMN())),OFFSET($BN$2,0,0,ROW()-1,60),ROW()-1,FALSE))</f>
        <v>1646.4939999999999</v>
      </c>
      <c r="AP10">
        <f ca="1">IF(AND($B$28=1,LEN($AP$31)&gt;0),$AP$31*1000,HLOOKUP(INDIRECT(ADDRESS(2,COLUMN())),OFFSET($BN$2,0,0,ROW()-1,60),ROW()-1,FALSE))</f>
        <v>1524.308</v>
      </c>
      <c r="AQ10">
        <f ca="1">IF(AND($B$28=1,LEN($AQ$31)&gt;0),$AQ$31*1000,HLOOKUP(INDIRECT(ADDRESS(2,COLUMN())),OFFSET($BN$2,0,0,ROW()-1,60),ROW()-1,FALSE))</f>
        <v>1191.845</v>
      </c>
      <c r="AR10">
        <f ca="1">IF(AND($B$28=1,LEN($AR$31)&gt;0),$AR$31*1000,HLOOKUP(INDIRECT(ADDRESS(2,COLUMN())),OFFSET($BN$2,0,0,ROW()-1,60),ROW()-1,FALSE))</f>
        <v>1882.229</v>
      </c>
      <c r="AS10">
        <f ca="1">IF(AND($B$28=1,LEN($AS$31)&gt;0),$AS$31*1000,HLOOKUP(INDIRECT(ADDRESS(2,COLUMN())),OFFSET($BN$2,0,0,ROW()-1,60),ROW()-1,FALSE))</f>
        <v>1823.9970000000001</v>
      </c>
      <c r="AT10">
        <f ca="1">IF(AND($B$28=1,LEN($AT$31)&gt;0),$AT$31*1000,HLOOKUP(INDIRECT(ADDRESS(2,COLUMN())),OFFSET($BN$2,0,0,ROW()-1,60),ROW()-1,FALSE))</f>
        <v>1320.9369999999999</v>
      </c>
      <c r="AU10">
        <f ca="1">IF(AND($B$28=1,LEN($AU$31)&gt;0),$AU$31*1000,HLOOKUP(INDIRECT(ADDRESS(2,COLUMN())),OFFSET($BN$2,0,0,ROW()-1,60),ROW()-1,FALSE))</f>
        <v>4571.308</v>
      </c>
      <c r="AV10">
        <f ca="1">IF(AND($B$28=1,LEN($AV$31)&gt;0),$AV$31*1000,HLOOKUP(INDIRECT(ADDRESS(2,COLUMN())),OFFSET($BN$2,0,0,ROW()-1,60),ROW()-1,FALSE))</f>
        <v>2154.3240000000001</v>
      </c>
      <c r="AW10">
        <f ca="1">IF(AND($B$28=1,LEN($AW$31)&gt;0),$AW$31*1000,HLOOKUP(INDIRECT(ADDRESS(2,COLUMN())),OFFSET($BN$2,0,0,ROW()-1,60),ROW()-1,FALSE))</f>
        <v>1529.38</v>
      </c>
      <c r="AX10">
        <f ca="1">IF(AND($B$28=1,LEN($AX$31)&gt;0),$AX$31*1000,HLOOKUP(INDIRECT(ADDRESS(2,COLUMN())),OFFSET($BN$2,0,0,ROW()-1,60),ROW()-1,FALSE))</f>
        <v>1271.8889999999999</v>
      </c>
      <c r="AY10">
        <f ca="1">IF(AND($B$28=1,LEN($AY$31)&gt;0),$AY$31*1000,HLOOKUP(INDIRECT(ADDRESS(2,COLUMN())),OFFSET($BN$2,0,0,ROW()-1,60),ROW()-1,FALSE))</f>
        <v>935.16300000000001</v>
      </c>
      <c r="AZ10">
        <f ca="1">IF(AND($B$28=1,LEN($AZ$31)&gt;0),$AZ$31*1000,HLOOKUP(INDIRECT(ADDRESS(2,COLUMN())),OFFSET($BN$2,0,0,ROW()-1,60),ROW()-1,FALSE))</f>
        <v>1056.9090000000001</v>
      </c>
      <c r="BA10">
        <f ca="1">IF(AND($B$28=1,LEN($BA$31)&gt;0),$BA$31*1000,HLOOKUP(INDIRECT(ADDRESS(2,COLUMN())),OFFSET($BN$2,0,0,ROW()-1,60),ROW()-1,FALSE))</f>
        <v>1042.473</v>
      </c>
      <c r="BB10">
        <f ca="1">IF(AND($B$28=1,LEN($BB$31)&gt;0),$BB$31*1000,HLOOKUP(INDIRECT(ADDRESS(2,COLUMN())),OFFSET($BN$2,0,0,ROW()-1,60),ROW()-1,FALSE))</f>
        <v>1438.579</v>
      </c>
      <c r="BC10">
        <f ca="1">IF(AND($B$28=1,LEN($BC$31)&gt;0),$BC$31*1000,HLOOKUP(INDIRECT(ADDRESS(2,COLUMN())),OFFSET($BN$2,0,0,ROW()-1,60),ROW()-1,FALSE))</f>
        <v>2081.627</v>
      </c>
      <c r="BD10">
        <f ca="1">IF(AND($B$28=1,LEN($BD$31)&gt;0),$BD$31*1000,HLOOKUP(INDIRECT(ADDRESS(2,COLUMN())),OFFSET($BN$2,0,0,ROW()-1,60),ROW()-1,FALSE))</f>
        <v>833.96600000000001</v>
      </c>
      <c r="BE10">
        <f ca="1">IF(AND($B$28=1,LEN($BE$31)&gt;0),$BE$31*1000,HLOOKUP(INDIRECT(ADDRESS(2,COLUMN())),OFFSET($BN$2,0,0,ROW()-1,60),ROW()-1,FALSE))</f>
        <v>761.87199999999996</v>
      </c>
      <c r="BF10">
        <f ca="1">IF(AND($B$28=1,LEN($BF$31)&gt;0),$BF$31*1000,HLOOKUP(INDIRECT(ADDRESS(2,COLUMN())),OFFSET($BN$2,0,0,ROW()-1,60),ROW()-1,FALSE))</f>
        <v>506.137</v>
      </c>
      <c r="BG10">
        <f ca="1">IF(AND($B$28=1,LEN($BG$31)&gt;0),$BG$31*1000,HLOOKUP(INDIRECT(ADDRESS(2,COLUMN())),OFFSET($BN$2,0,0,ROW()-1,60),ROW()-1,FALSE))</f>
        <v>362.64699999999999</v>
      </c>
      <c r="BH10">
        <f ca="1">IF(AND($B$28=1,LEN($BH$31)&gt;0),$BH$31*1000,HLOOKUP(INDIRECT(ADDRESS(2,COLUMN())),OFFSET($BN$2,0,0,ROW()-1,60),ROW()-1,FALSE))</f>
        <v>146.773</v>
      </c>
      <c r="BI10">
        <f ca="1">IF(AND($B$28=1,LEN($BI$31)&gt;0),$BI$31*1000,HLOOKUP(INDIRECT(ADDRESS(2,COLUMN())),OFFSET($BN$2,0,0,ROW()-1,60),ROW()-1,FALSE))</f>
        <v>165.58500000000001</v>
      </c>
      <c r="BJ10">
        <f ca="1">IF(AND($B$28=1,LEN($BJ$31)&gt;0),$BJ$31*1000,HLOOKUP(INDIRECT(ADDRESS(2,COLUMN())),OFFSET($BN$2,0,0,ROW()-1,60),ROW()-1,FALSE))</f>
        <v>105.9</v>
      </c>
      <c r="BK10">
        <f ca="1">IF(AND($B$28=1,LEN($BK$31)&gt;0),$BK$31*1000,HLOOKUP(INDIRECT(ADDRESS(2,COLUMN())),OFFSET($BN$2,0,0,ROW()-1,60),ROW()-1,FALSE))</f>
        <v>138.1</v>
      </c>
      <c r="BL10">
        <f ca="1">IF(AND($B$28=1,LEN($BL$31)&gt;0),$BL$31*1000,HLOOKUP(INDIRECT(ADDRESS(2,COLUMN())),OFFSET($BN$2,0,0,ROW()-1,60),ROW()-1,FALSE))</f>
        <v>74.5</v>
      </c>
      <c r="BM10">
        <f ca="1">IF(AND($B$28=1,LEN($BM$31)&gt;0),$BM$31*1000,HLOOKUP(INDIRECT(ADDRESS(2,COLUMN())),OFFSET($BN$2,0,0,ROW()-1,60),ROW()-1,FALSE))</f>
        <v>64.400000000000006</v>
      </c>
      <c r="BN10">
        <f>1687.569</f>
        <v>1687.569</v>
      </c>
      <c r="BO10">
        <f>803.171</f>
        <v>803.17100000000005</v>
      </c>
      <c r="BP10">
        <f>3293.246</f>
        <v>3293.2460000000001</v>
      </c>
      <c r="BQ10">
        <f>364.008</f>
        <v>364.00799999999998</v>
      </c>
      <c r="BR10">
        <f>1878.935</f>
        <v>1878.9349999999999</v>
      </c>
      <c r="BS10">
        <f>917.439</f>
        <v>917.43899999999996</v>
      </c>
      <c r="BT10">
        <f>1127.352</f>
        <v>1127.3520000000001</v>
      </c>
      <c r="BU10">
        <f>812.695</f>
        <v>812.69500000000005</v>
      </c>
      <c r="BV10">
        <f>1502.346</f>
        <v>1502.346</v>
      </c>
      <c r="BW10">
        <f>980.958</f>
        <v>980.95799999999997</v>
      </c>
      <c r="BX10">
        <f>1807.775</f>
        <v>1807.7750000000001</v>
      </c>
      <c r="BY10">
        <f>824.195</f>
        <v>824.19500000000005</v>
      </c>
      <c r="BZ10">
        <f>1397.99</f>
        <v>1397.99</v>
      </c>
      <c r="CA10">
        <f>721.433</f>
        <v>721.43299999999999</v>
      </c>
      <c r="CB10">
        <f>996.074</f>
        <v>996.07399999999996</v>
      </c>
      <c r="CC10">
        <f>565.152</f>
        <v>565.15200000000004</v>
      </c>
      <c r="CD10">
        <f>1480.369</f>
        <v>1480.3689999999999</v>
      </c>
      <c r="CE10">
        <f>665.172</f>
        <v>665.17200000000003</v>
      </c>
      <c r="CF10">
        <f>797.47</f>
        <v>797.47</v>
      </c>
      <c r="CG10">
        <f>508.904</f>
        <v>508.904</v>
      </c>
      <c r="CH10">
        <f>1033.579</f>
        <v>1033.579</v>
      </c>
      <c r="CI10">
        <f>234.131</f>
        <v>234.131</v>
      </c>
      <c r="CJ10">
        <f>450.608</f>
        <v>450.608</v>
      </c>
      <c r="CK10">
        <f>1059.089</f>
        <v>1059.0889999999999</v>
      </c>
      <c r="CL10">
        <f>1593.972</f>
        <v>1593.972</v>
      </c>
      <c r="CM10">
        <f>389.565</f>
        <v>389.565</v>
      </c>
      <c r="CN10">
        <f>473.122</f>
        <v>473.12200000000001</v>
      </c>
      <c r="CO10">
        <f>943.604</f>
        <v>943.60400000000004</v>
      </c>
      <c r="CP10">
        <f>1476.59</f>
        <v>1476.59</v>
      </c>
      <c r="CQ10">
        <f>443.414</f>
        <v>443.41399999999999</v>
      </c>
      <c r="CR10">
        <f>146.491</f>
        <v>146.49100000000001</v>
      </c>
      <c r="CS10">
        <f>276.76</f>
        <v>276.76</v>
      </c>
      <c r="CT10">
        <f>620.746</f>
        <v>620.74599999999998</v>
      </c>
      <c r="CU10">
        <f>338.556</f>
        <v>338.55599999999998</v>
      </c>
      <c r="CV10">
        <f>1039.976</f>
        <v>1039.9760000000001</v>
      </c>
      <c r="CW10">
        <f>1646.494</f>
        <v>1646.4939999999999</v>
      </c>
      <c r="CX10">
        <f>1524.308</f>
        <v>1524.308</v>
      </c>
      <c r="CY10">
        <f>1191.845</f>
        <v>1191.845</v>
      </c>
      <c r="CZ10">
        <f>1882.229</f>
        <v>1882.229</v>
      </c>
      <c r="DA10">
        <f>1823.997</f>
        <v>1823.9970000000001</v>
      </c>
      <c r="DB10">
        <f>1320.937</f>
        <v>1320.9369999999999</v>
      </c>
      <c r="DC10">
        <f>4571.308</f>
        <v>4571.308</v>
      </c>
      <c r="DD10">
        <f>2154.324</f>
        <v>2154.3240000000001</v>
      </c>
      <c r="DE10">
        <f>1529.38</f>
        <v>1529.38</v>
      </c>
      <c r="DF10">
        <f>1271.889</f>
        <v>1271.8889999999999</v>
      </c>
      <c r="DG10">
        <f>935.163</f>
        <v>935.16300000000001</v>
      </c>
      <c r="DH10">
        <f>1056.909</f>
        <v>1056.9090000000001</v>
      </c>
      <c r="DI10">
        <f>1042.473</f>
        <v>1042.473</v>
      </c>
      <c r="DJ10">
        <f>1438.579</f>
        <v>1438.579</v>
      </c>
      <c r="DK10">
        <f>2081.627</f>
        <v>2081.627</v>
      </c>
      <c r="DL10">
        <f>833.966</f>
        <v>833.96600000000001</v>
      </c>
      <c r="DM10">
        <f>761.872</f>
        <v>761.87199999999996</v>
      </c>
      <c r="DN10">
        <f>506.137</f>
        <v>506.137</v>
      </c>
      <c r="DO10">
        <f>362.647</f>
        <v>362.64699999999999</v>
      </c>
      <c r="DP10">
        <f>146.773</f>
        <v>146.773</v>
      </c>
      <c r="DQ10">
        <f>165.585</f>
        <v>165.58500000000001</v>
      </c>
      <c r="DR10">
        <f>105.9</f>
        <v>105.9</v>
      </c>
      <c r="DS10">
        <f>138.1</f>
        <v>138.1</v>
      </c>
      <c r="DT10">
        <f>74.5</f>
        <v>74.5</v>
      </c>
      <c r="DU10">
        <f>64.4</f>
        <v>64.400000000000006</v>
      </c>
    </row>
    <row r="11" spans="1:125">
      <c r="A11" t="str">
        <f>"    工业房地产投资信托净收购"</f>
        <v xml:space="preserve">    工业房地产投资信托净收购</v>
      </c>
      <c r="B11" t="str">
        <f>"RECFNAIN Index"</f>
        <v>RECFNAIN Index</v>
      </c>
      <c r="E11" t="str">
        <f>"Expression"</f>
        <v>Expression</v>
      </c>
      <c r="F11">
        <f ca="1">IF(AND($B$28=1,LEN($F$32)&gt;0),$F$32*1000,HLOOKUP(INDIRECT(ADDRESS(2,COLUMN())),OFFSET($BN$2,0,0,ROW()-1,60),ROW()-1,FALSE))</f>
        <v>-439.56700000000001</v>
      </c>
      <c r="G11">
        <f ca="1">IF(AND($B$28=1,LEN($G$32)&gt;0),$G$32*1000,HLOOKUP(INDIRECT(ADDRESS(2,COLUMN())),OFFSET($BN$2,0,0,ROW()-1,60),ROW()-1,FALSE))</f>
        <v>427.255</v>
      </c>
      <c r="H11">
        <f ca="1">IF(AND($B$28=1,LEN($H$32)&gt;0),$H$32*1000,HLOOKUP(INDIRECT(ADDRESS(2,COLUMN())),OFFSET($BN$2,0,0,ROW()-1,60),ROW()-1,FALSE))</f>
        <v>-2188.9630000000002</v>
      </c>
      <c r="I11">
        <f ca="1">IF(AND($B$28=1,LEN($I$32)&gt;0),$I$32*1000,HLOOKUP(INDIRECT(ADDRESS(2,COLUMN())),OFFSET($BN$2,0,0,ROW()-1,60),ROW()-1,FALSE))</f>
        <v>92.563000000000002</v>
      </c>
      <c r="J11">
        <f ca="1">IF(AND($B$28=1,LEN($J$32)&gt;0),$J$32*1000,HLOOKUP(INDIRECT(ADDRESS(2,COLUMN())),OFFSET($BN$2,0,0,ROW()-1,60),ROW()-1,FALSE))</f>
        <v>-1035.7170000000001</v>
      </c>
      <c r="K11">
        <f ca="1">IF(AND($B$28=1,LEN($K$32)&gt;0),$K$32*1000,HLOOKUP(INDIRECT(ADDRESS(2,COLUMN())),OFFSET($BN$2,0,0,ROW()-1,60),ROW()-1,FALSE))</f>
        <v>-423.375</v>
      </c>
      <c r="L11">
        <f ca="1">IF(AND($B$28=1,LEN($L$32)&gt;0),$L$32*1000,HLOOKUP(INDIRECT(ADDRESS(2,COLUMN())),OFFSET($BN$2,0,0,ROW()-1,60),ROW()-1,FALSE))</f>
        <v>-592.27800000000002</v>
      </c>
      <c r="M11">
        <f ca="1">IF(AND($B$28=1,LEN($M$32)&gt;0),$M$32*1000,HLOOKUP(INDIRECT(ADDRESS(2,COLUMN())),OFFSET($BN$2,0,0,ROW()-1,60),ROW()-1,FALSE))</f>
        <v>-627.51400000000001</v>
      </c>
      <c r="N11">
        <f ca="1">IF(AND($B$28=1,LEN($N$32)&gt;0),$N$32*1000,HLOOKUP(INDIRECT(ADDRESS(2,COLUMN())),OFFSET($BN$2,0,0,ROW()-1,60),ROW()-1,FALSE))</f>
        <v>-399.06900000000002</v>
      </c>
      <c r="O11">
        <f ca="1">IF(AND($B$28=1,LEN($O$32)&gt;0),$O$32*1000,HLOOKUP(INDIRECT(ADDRESS(2,COLUMN())),OFFSET($BN$2,0,0,ROW()-1,60),ROW()-1,FALSE))</f>
        <v>-259.23899999999998</v>
      </c>
      <c r="P11">
        <f ca="1">IF(AND($B$28=1,LEN($P$32)&gt;0),$P$32*1000,HLOOKUP(INDIRECT(ADDRESS(2,COLUMN())),OFFSET($BN$2,0,0,ROW()-1,60),ROW()-1,FALSE))</f>
        <v>4489.2190000000001</v>
      </c>
      <c r="Q11">
        <f ca="1">IF(AND($B$28=1,LEN($Q$32)&gt;0),$Q$32*1000,HLOOKUP(INDIRECT(ADDRESS(2,COLUMN())),OFFSET($BN$2,0,0,ROW()-1,60),ROW()-1,FALSE))</f>
        <v>-211.21</v>
      </c>
      <c r="R11">
        <f ca="1">IF(AND($B$28=1,LEN($R$32)&gt;0),$R$32*1000,HLOOKUP(INDIRECT(ADDRESS(2,COLUMN())),OFFSET($BN$2,0,0,ROW()-1,60),ROW()-1,FALSE))</f>
        <v>-480.52600000000001</v>
      </c>
      <c r="S11">
        <f ca="1">IF(AND($B$28=1,LEN($S$32)&gt;0),$S$32*1000,HLOOKUP(INDIRECT(ADDRESS(2,COLUMN())),OFFSET($BN$2,0,0,ROW()-1,60),ROW()-1,FALSE))</f>
        <v>734.61800000000005</v>
      </c>
      <c r="T11">
        <f ca="1">IF(AND($B$28=1,LEN($T$32)&gt;0),$T$32*1000,HLOOKUP(INDIRECT(ADDRESS(2,COLUMN())),OFFSET($BN$2,0,0,ROW()-1,60),ROW()-1,FALSE))</f>
        <v>-157.66200000000001</v>
      </c>
      <c r="U11">
        <f ca="1">IF(AND($B$28=1,LEN($U$32)&gt;0),$U$32*1000,HLOOKUP(INDIRECT(ADDRESS(2,COLUMN())),OFFSET($BN$2,0,0,ROW()-1,60),ROW()-1,FALSE))</f>
        <v>29.003</v>
      </c>
      <c r="V11">
        <f ca="1">IF(AND($B$28=1,LEN($V$32)&gt;0),$V$32*1000,HLOOKUP(INDIRECT(ADDRESS(2,COLUMN())),OFFSET($BN$2,0,0,ROW()-1,60),ROW()-1,FALSE))</f>
        <v>1135.04</v>
      </c>
      <c r="W11">
        <f ca="1">IF(AND($B$28=1,LEN($W$32)&gt;0),$W$32*1000,HLOOKUP(INDIRECT(ADDRESS(2,COLUMN())),OFFSET($BN$2,0,0,ROW()-1,60),ROW()-1,FALSE))</f>
        <v>229.441</v>
      </c>
      <c r="X11">
        <f ca="1">IF(AND($B$28=1,LEN($X$32)&gt;0),$X$32*1000,HLOOKUP(INDIRECT(ADDRESS(2,COLUMN())),OFFSET($BN$2,0,0,ROW()-1,60),ROW()-1,FALSE))</f>
        <v>307.49400000000003</v>
      </c>
      <c r="Y11">
        <f ca="1">IF(AND($B$28=1,LEN($Y$32)&gt;0),$Y$32*1000,HLOOKUP(INDIRECT(ADDRESS(2,COLUMN())),OFFSET($BN$2,0,0,ROW()-1,60),ROW()-1,FALSE))</f>
        <v>-349.88499999999999</v>
      </c>
      <c r="Z11">
        <f ca="1">IF(AND($B$28=1,LEN($Z$32)&gt;0),$Z$32*1000,HLOOKUP(INDIRECT(ADDRESS(2,COLUMN())),OFFSET($BN$2,0,0,ROW()-1,60),ROW()-1,FALSE))</f>
        <v>501.137</v>
      </c>
      <c r="AA11">
        <f ca="1">IF(AND($B$28=1,LEN($AA$32)&gt;0),$AA$32*1000,HLOOKUP(INDIRECT(ADDRESS(2,COLUMN())),OFFSET($BN$2,0,0,ROW()-1,60),ROW()-1,FALSE))</f>
        <v>252.55600000000001</v>
      </c>
      <c r="AB11">
        <f ca="1">IF(AND($B$28=1,LEN($AB$32)&gt;0),$AB$32*1000,HLOOKUP(INDIRECT(ADDRESS(2,COLUMN())),OFFSET($BN$2,0,0,ROW()-1,60),ROW()-1,FALSE))</f>
        <v>25.808</v>
      </c>
      <c r="AC11">
        <f ca="1">IF(AND($B$28=1,LEN($AC$32)&gt;0),$AC$32*1000,HLOOKUP(INDIRECT(ADDRESS(2,COLUMN())),OFFSET($BN$2,0,0,ROW()-1,60),ROW()-1,FALSE))</f>
        <v>-732.11699999999996</v>
      </c>
      <c r="AD11">
        <f ca="1">IF(AND($B$28=1,LEN($AD$32)&gt;0),$AD$32*1000,HLOOKUP(INDIRECT(ADDRESS(2,COLUMN())),OFFSET($BN$2,0,0,ROW()-1,60),ROW()-1,FALSE))</f>
        <v>-30.355</v>
      </c>
      <c r="AE11">
        <f ca="1">IF(AND($B$28=1,LEN($AE$32)&gt;0),$AE$32*1000,HLOOKUP(INDIRECT(ADDRESS(2,COLUMN())),OFFSET($BN$2,0,0,ROW()-1,60),ROW()-1,FALSE))</f>
        <v>172.495</v>
      </c>
      <c r="AF11">
        <f ca="1">IF(AND($B$28=1,LEN($AF$32)&gt;0),$AF$32*1000,HLOOKUP(INDIRECT(ADDRESS(2,COLUMN())),OFFSET($BN$2,0,0,ROW()-1,60),ROW()-1,FALSE))</f>
        <v>12529.587</v>
      </c>
      <c r="AG11">
        <f ca="1">IF(AND($B$28=1,LEN($AG$32)&gt;0),$AG$32*1000,HLOOKUP(INDIRECT(ADDRESS(2,COLUMN())),OFFSET($BN$2,0,0,ROW()-1,60),ROW()-1,FALSE))</f>
        <v>-595.34100000000001</v>
      </c>
      <c r="AH11">
        <f ca="1">IF(AND($B$28=1,LEN($AH$32)&gt;0),$AH$32*1000,HLOOKUP(INDIRECT(ADDRESS(2,COLUMN())),OFFSET($BN$2,0,0,ROW()-1,60),ROW()-1,FALSE))</f>
        <v>-314.71899999999999</v>
      </c>
      <c r="AI11">
        <f ca="1">IF(AND($B$28=1,LEN($AI$32)&gt;0),$AI$32*1000,HLOOKUP(INDIRECT(ADDRESS(2,COLUMN())),OFFSET($BN$2,0,0,ROW()-1,60),ROW()-1,FALSE))</f>
        <v>358.745</v>
      </c>
      <c r="AJ11">
        <f ca="1">IF(AND($B$28=1,LEN($AJ$32)&gt;0),$AJ$32*1000,HLOOKUP(INDIRECT(ADDRESS(2,COLUMN())),OFFSET($BN$2,0,0,ROW()-1,60),ROW()-1,FALSE))</f>
        <v>172.78299999999999</v>
      </c>
      <c r="AK11">
        <f ca="1">IF(AND($B$28=1,LEN($AK$32)&gt;0),$AK$32*1000,HLOOKUP(INDIRECT(ADDRESS(2,COLUMN())),OFFSET($BN$2,0,0,ROW()-1,60),ROW()-1,FALSE))</f>
        <v>-121.42400000000001</v>
      </c>
      <c r="AL11">
        <f ca="1">IF(AND($B$28=1,LEN($AL$32)&gt;0),$AL$32*1000,HLOOKUP(INDIRECT(ADDRESS(2,COLUMN())),OFFSET($BN$2,0,0,ROW()-1,60),ROW()-1,FALSE))</f>
        <v>-543.30600000000004</v>
      </c>
      <c r="AM11">
        <f ca="1">IF(AND($B$28=1,LEN($AM$32)&gt;0),$AM$32*1000,HLOOKUP(INDIRECT(ADDRESS(2,COLUMN())),OFFSET($BN$2,0,0,ROW()-1,60),ROW()-1,FALSE))</f>
        <v>-312.89299999999997</v>
      </c>
      <c r="AN11">
        <f ca="1">IF(AND($B$28=1,LEN($AN$32)&gt;0),$AN$32*1000,HLOOKUP(INDIRECT(ADDRESS(2,COLUMN())),OFFSET($BN$2,0,0,ROW()-1,60),ROW()-1,FALSE))</f>
        <v>-1011.856</v>
      </c>
      <c r="AO11">
        <f ca="1">IF(AND($B$28=1,LEN($AO$32)&gt;0),$AO$32*1000,HLOOKUP(INDIRECT(ADDRESS(2,COLUMN())),OFFSET($BN$2,0,0,ROW()-1,60),ROW()-1,FALSE))</f>
        <v>-1646.4939999999999</v>
      </c>
      <c r="AP11">
        <f ca="1">IF(AND($B$28=1,LEN($AP$32)&gt;0),$AP$32*1000,HLOOKUP(INDIRECT(ADDRESS(2,COLUMN())),OFFSET($BN$2,0,0,ROW()-1,60),ROW()-1,FALSE))</f>
        <v>-1342.212</v>
      </c>
      <c r="AQ11">
        <f ca="1">IF(AND($B$28=1,LEN($AQ$32)&gt;0),$AQ$32*1000,HLOOKUP(INDIRECT(ADDRESS(2,COLUMN())),OFFSET($BN$2,0,0,ROW()-1,60),ROW()-1,FALSE))</f>
        <v>-586.73400000000004</v>
      </c>
      <c r="AR11">
        <f ca="1">IF(AND($B$28=1,LEN($AR$32)&gt;0),$AR$32*1000,HLOOKUP(INDIRECT(ADDRESS(2,COLUMN())),OFFSET($BN$2,0,0,ROW()-1,60),ROW()-1,FALSE))</f>
        <v>-1285.9179999999999</v>
      </c>
      <c r="AS11">
        <f ca="1">IF(AND($B$28=1,LEN($AS$32)&gt;0),$AS$32*1000,HLOOKUP(INDIRECT(ADDRESS(2,COLUMN())),OFFSET($BN$2,0,0,ROW()-1,60),ROW()-1,FALSE))</f>
        <v>-1124.259</v>
      </c>
      <c r="AT11">
        <f ca="1">IF(AND($B$28=1,LEN($AT$32)&gt;0),$AT$32*1000,HLOOKUP(INDIRECT(ADDRESS(2,COLUMN())),OFFSET($BN$2,0,0,ROW()-1,60),ROW()-1,FALSE))</f>
        <v>323.37099999999998</v>
      </c>
      <c r="AU11">
        <f ca="1">IF(AND($B$28=1,LEN($AU$32)&gt;0),$AU$32*1000,HLOOKUP(INDIRECT(ADDRESS(2,COLUMN())),OFFSET($BN$2,0,0,ROW()-1,60),ROW()-1,FALSE))</f>
        <v>-1238.1659999999999</v>
      </c>
      <c r="AV11">
        <f ca="1">IF(AND($B$28=1,LEN($AV$32)&gt;0),$AV$32*1000,HLOOKUP(INDIRECT(ADDRESS(2,COLUMN())),OFFSET($BN$2,0,0,ROW()-1,60),ROW()-1,FALSE))</f>
        <v>-971.24800000000005</v>
      </c>
      <c r="AW11">
        <f ca="1">IF(AND($B$28=1,LEN($AW$32)&gt;0),$AW$32*1000,HLOOKUP(INDIRECT(ADDRESS(2,COLUMN())),OFFSET($BN$2,0,0,ROW()-1,60),ROW()-1,FALSE))</f>
        <v>-159.762</v>
      </c>
      <c r="AX11">
        <f ca="1">IF(AND($B$28=1,LEN($AX$32)&gt;0),$AX$32*1000,HLOOKUP(INDIRECT(ADDRESS(2,COLUMN())),OFFSET($BN$2,0,0,ROW()-1,60),ROW()-1,FALSE))</f>
        <v>-292.57799999999997</v>
      </c>
      <c r="AY11">
        <f ca="1">IF(AND($B$28=1,LEN($AY$32)&gt;0),$AY$32*1000,HLOOKUP(INDIRECT(ADDRESS(2,COLUMN())),OFFSET($BN$2,0,0,ROW()-1,60),ROW()-1,FALSE))</f>
        <v>-104.279</v>
      </c>
      <c r="AZ11">
        <f ca="1">IF(AND($B$28=1,LEN($AZ$32)&gt;0),$AZ$32*1000,HLOOKUP(INDIRECT(ADDRESS(2,COLUMN())),OFFSET($BN$2,0,0,ROW()-1,60),ROW()-1,FALSE))</f>
        <v>-173.292</v>
      </c>
      <c r="BA11">
        <f ca="1">IF(AND($B$28=1,LEN($BA$32)&gt;0),$BA$32*1000,HLOOKUP(INDIRECT(ADDRESS(2,COLUMN())),OFFSET($BN$2,0,0,ROW()-1,60),ROW()-1,FALSE))</f>
        <v>42.405999999999999</v>
      </c>
      <c r="BB11">
        <f ca="1">IF(AND($B$28=1,LEN($BB$32)&gt;0),$BB$32*1000,HLOOKUP(INDIRECT(ADDRESS(2,COLUMN())),OFFSET($BN$2,0,0,ROW()-1,60),ROW()-1,FALSE))</f>
        <v>-419.79500000000002</v>
      </c>
      <c r="BC11">
        <f ca="1">IF(AND($B$28=1,LEN($BC$32)&gt;0),$BC$32*1000,HLOOKUP(INDIRECT(ADDRESS(2,COLUMN())),OFFSET($BN$2,0,0,ROW()-1,60),ROW()-1,FALSE))</f>
        <v>2449.424</v>
      </c>
      <c r="BD11">
        <f ca="1">IF(AND($B$28=1,LEN($BD$32)&gt;0),$BD$32*1000,HLOOKUP(INDIRECT(ADDRESS(2,COLUMN())),OFFSET($BN$2,0,0,ROW()-1,60),ROW()-1,FALSE))</f>
        <v>-73.572000000000003</v>
      </c>
      <c r="BE11">
        <f ca="1">IF(AND($B$28=1,LEN($BE$32)&gt;0),$BE$32*1000,HLOOKUP(INDIRECT(ADDRESS(2,COLUMN())),OFFSET($BN$2,0,0,ROW()-1,60),ROW()-1,FALSE))</f>
        <v>-383.22899999999998</v>
      </c>
      <c r="BF11">
        <f ca="1">IF(AND($B$28=1,LEN($BF$32)&gt;0),$BF$32*1000,HLOOKUP(INDIRECT(ADDRESS(2,COLUMN())),OFFSET($BN$2,0,0,ROW()-1,60),ROW()-1,FALSE))</f>
        <v>100.46899999999999</v>
      </c>
      <c r="BG11">
        <f ca="1">IF(AND($B$28=1,LEN($BG$32)&gt;0),$BG$32*1000,HLOOKUP(INDIRECT(ADDRESS(2,COLUMN())),OFFSET($BN$2,0,0,ROW()-1,60),ROW()-1,FALSE))</f>
        <v>2395.1</v>
      </c>
      <c r="BH11">
        <f ca="1">IF(AND($B$28=1,LEN($BH$32)&gt;0),$BH$32*1000,HLOOKUP(INDIRECT(ADDRESS(2,COLUMN())),OFFSET($BN$2,0,0,ROW()-1,60),ROW()-1,FALSE))</f>
        <v>437.142</v>
      </c>
      <c r="BI11">
        <f ca="1">IF(AND($B$28=1,LEN($BI$32)&gt;0),$BI$32*1000,HLOOKUP(INDIRECT(ADDRESS(2,COLUMN())),OFFSET($BN$2,0,0,ROW()-1,60),ROW()-1,FALSE))</f>
        <v>332.10599999999999</v>
      </c>
      <c r="BJ11">
        <f ca="1">IF(AND($B$28=1,LEN($BJ$32)&gt;0),$BJ$32*1000,HLOOKUP(INDIRECT(ADDRESS(2,COLUMN())),OFFSET($BN$2,0,0,ROW()-1,60),ROW()-1,FALSE))</f>
        <v>35.302</v>
      </c>
      <c r="BK11">
        <f ca="1">IF(AND($B$28=1,LEN($BK$32)&gt;0),$BK$32*1000,HLOOKUP(INDIRECT(ADDRESS(2,COLUMN())),OFFSET($BN$2,0,0,ROW()-1,60),ROW()-1,FALSE))</f>
        <v>-108</v>
      </c>
      <c r="BL11">
        <f ca="1">IF(AND($B$28=1,LEN($BL$32)&gt;0),$BL$32*1000,HLOOKUP(INDIRECT(ADDRESS(2,COLUMN())),OFFSET($BN$2,0,0,ROW()-1,60),ROW()-1,FALSE))</f>
        <v>36.1</v>
      </c>
      <c r="BM11">
        <f ca="1">IF(AND($B$28=1,LEN($BM$32)&gt;0),$BM$32*1000,HLOOKUP(INDIRECT(ADDRESS(2,COLUMN())),OFFSET($BN$2,0,0,ROW()-1,60),ROW()-1,FALSE))</f>
        <v>-44</v>
      </c>
      <c r="BN11">
        <f>-439.567</f>
        <v>-439.56700000000001</v>
      </c>
      <c r="BO11">
        <f>427.255</f>
        <v>427.255</v>
      </c>
      <c r="BP11">
        <f>-2188.963</f>
        <v>-2188.9630000000002</v>
      </c>
      <c r="BQ11">
        <f>92.563</f>
        <v>92.563000000000002</v>
      </c>
      <c r="BR11">
        <f>-1035.717</f>
        <v>-1035.7170000000001</v>
      </c>
      <c r="BS11">
        <f>-423.375</f>
        <v>-423.375</v>
      </c>
      <c r="BT11">
        <f>-592.278</f>
        <v>-592.27800000000002</v>
      </c>
      <c r="BU11">
        <f>-627.514</f>
        <v>-627.51400000000001</v>
      </c>
      <c r="BV11">
        <f>-399.069</f>
        <v>-399.06900000000002</v>
      </c>
      <c r="BW11">
        <f>-259.239</f>
        <v>-259.23899999999998</v>
      </c>
      <c r="BX11">
        <f>4489.219</f>
        <v>4489.2190000000001</v>
      </c>
      <c r="BY11">
        <f>-211.21</f>
        <v>-211.21</v>
      </c>
      <c r="BZ11">
        <f>-480.526</f>
        <v>-480.52600000000001</v>
      </c>
      <c r="CA11">
        <f>734.618</f>
        <v>734.61800000000005</v>
      </c>
      <c r="CB11">
        <f>-157.662</f>
        <v>-157.66200000000001</v>
      </c>
      <c r="CC11">
        <f>29.003</f>
        <v>29.003</v>
      </c>
      <c r="CD11">
        <f>1135.04</f>
        <v>1135.04</v>
      </c>
      <c r="CE11">
        <f>229.441</f>
        <v>229.441</v>
      </c>
      <c r="CF11">
        <f>307.494</f>
        <v>307.49400000000003</v>
      </c>
      <c r="CG11">
        <f>-349.885</f>
        <v>-349.88499999999999</v>
      </c>
      <c r="CH11">
        <f>501.137</f>
        <v>501.137</v>
      </c>
      <c r="CI11">
        <f>252.556</f>
        <v>252.55600000000001</v>
      </c>
      <c r="CJ11">
        <f>25.808</f>
        <v>25.808</v>
      </c>
      <c r="CK11">
        <f>-732.117</f>
        <v>-732.11699999999996</v>
      </c>
      <c r="CL11">
        <f>-30.355</f>
        <v>-30.355</v>
      </c>
      <c r="CM11">
        <f>172.495</f>
        <v>172.495</v>
      </c>
      <c r="CN11">
        <f>12529.587</f>
        <v>12529.587</v>
      </c>
      <c r="CO11">
        <f>-595.341</f>
        <v>-595.34100000000001</v>
      </c>
      <c r="CP11">
        <f>-314.719</f>
        <v>-314.71899999999999</v>
      </c>
      <c r="CQ11">
        <f>358.745</f>
        <v>358.745</v>
      </c>
      <c r="CR11">
        <f>172.783</f>
        <v>172.78299999999999</v>
      </c>
      <c r="CS11">
        <f>-121.424</f>
        <v>-121.42400000000001</v>
      </c>
      <c r="CT11">
        <f>-543.306</f>
        <v>-543.30600000000004</v>
      </c>
      <c r="CU11">
        <f>-312.893</f>
        <v>-312.89299999999997</v>
      </c>
      <c r="CV11">
        <f>-1011.856</f>
        <v>-1011.856</v>
      </c>
      <c r="CW11">
        <f>-1646.494</f>
        <v>-1646.4939999999999</v>
      </c>
      <c r="CX11">
        <f>-1342.212</f>
        <v>-1342.212</v>
      </c>
      <c r="CY11">
        <f>-586.734</f>
        <v>-586.73400000000004</v>
      </c>
      <c r="CZ11">
        <f>-1285.918</f>
        <v>-1285.9179999999999</v>
      </c>
      <c r="DA11">
        <f>-1124.259</f>
        <v>-1124.259</v>
      </c>
      <c r="DB11">
        <f>323.371</f>
        <v>323.37099999999998</v>
      </c>
      <c r="DC11">
        <f>-1238.166</f>
        <v>-1238.1659999999999</v>
      </c>
      <c r="DD11">
        <f>-971.248</f>
        <v>-971.24800000000005</v>
      </c>
      <c r="DE11">
        <f>-159.762</f>
        <v>-159.762</v>
      </c>
      <c r="DF11">
        <f>-292.578</f>
        <v>-292.57799999999997</v>
      </c>
      <c r="DG11">
        <f>-104.279</f>
        <v>-104.279</v>
      </c>
      <c r="DH11">
        <f>-173.292</f>
        <v>-173.292</v>
      </c>
      <c r="DI11">
        <f>42.406</f>
        <v>42.405999999999999</v>
      </c>
      <c r="DJ11">
        <f>-419.795</f>
        <v>-419.79500000000002</v>
      </c>
      <c r="DK11">
        <f>2449.424</f>
        <v>2449.424</v>
      </c>
      <c r="DL11">
        <f>-73.572</f>
        <v>-73.572000000000003</v>
      </c>
      <c r="DM11">
        <f>-383.229</f>
        <v>-383.22899999999998</v>
      </c>
      <c r="DN11">
        <f>100.469</f>
        <v>100.46899999999999</v>
      </c>
      <c r="DO11">
        <f>2395.1</f>
        <v>2395.1</v>
      </c>
      <c r="DP11">
        <f>437.142</f>
        <v>437.142</v>
      </c>
      <c r="DQ11">
        <f>332.106</f>
        <v>332.10599999999999</v>
      </c>
      <c r="DR11">
        <f>35.302</f>
        <v>35.302</v>
      </c>
      <c r="DS11">
        <f>-108</f>
        <v>-108</v>
      </c>
      <c r="DT11">
        <f>36.1</f>
        <v>36.1</v>
      </c>
      <c r="DU11">
        <f>-44</f>
        <v>-44</v>
      </c>
    </row>
    <row r="12" spans="1:125">
      <c r="A12" t="str">
        <f>"    工业房地产投资信托总开发渠道"</f>
        <v xml:space="preserve">    工业房地产投资信托总开发渠道</v>
      </c>
      <c r="B12" t="str">
        <f>"RECFDVIN Index"</f>
        <v>RECFDVIN Index</v>
      </c>
      <c r="C12" t="str">
        <f>"PR005"</f>
        <v>PR005</v>
      </c>
      <c r="D12" t="str">
        <f>"PX_LAST"</f>
        <v>PX_LAST</v>
      </c>
      <c r="E12" t="str">
        <f>"动态"</f>
        <v>动态</v>
      </c>
      <c r="F12">
        <f ca="1">IF(AND(ISNUMBER($F$38),$B$28=1),$F$38,HLOOKUP(INDIRECT(ADDRESS(2,COLUMN())),OFFSET($BN$2,0,0,ROW()-1,60),ROW()-1,FALSE))</f>
        <v>6557.3559999999998</v>
      </c>
      <c r="G12">
        <f ca="1">IF(AND(ISNUMBER($G$38),$B$28=1),$G$38,HLOOKUP(INDIRECT(ADDRESS(2,COLUMN())),OFFSET($BN$2,0,0,ROW()-1,60),ROW()-1,FALSE))</f>
        <v>6655.0969999999998</v>
      </c>
      <c r="H12">
        <f ca="1">IF(AND(ISNUMBER($H$38),$B$28=1),$H$38,HLOOKUP(INDIRECT(ADDRESS(2,COLUMN())),OFFSET($BN$2,0,0,ROW()-1,60),ROW()-1,FALSE))</f>
        <v>6686.6620000000003</v>
      </c>
      <c r="I12">
        <f ca="1">IF(AND(ISNUMBER($I$38),$B$28=1),$I$38,HLOOKUP(INDIRECT(ADDRESS(2,COLUMN())),OFFSET($BN$2,0,0,ROW()-1,60),ROW()-1,FALSE))</f>
        <v>6306.3860000000004</v>
      </c>
      <c r="J12">
        <f ca="1">IF(AND(ISNUMBER($J$38),$B$28=1),$J$38,HLOOKUP(INDIRECT(ADDRESS(2,COLUMN())),OFFSET($BN$2,0,0,ROW()-1,60),ROW()-1,FALSE))</f>
        <v>6225.6019999999999</v>
      </c>
      <c r="K12">
        <f ca="1">IF(AND(ISNUMBER($K$38),$B$28=1),$K$38,HLOOKUP(INDIRECT(ADDRESS(2,COLUMN())),OFFSET($BN$2,0,0,ROW()-1,60),ROW()-1,FALSE))</f>
        <v>6107.5460000000003</v>
      </c>
      <c r="L12">
        <f ca="1">IF(AND(ISNUMBER($L$38),$B$28=1),$L$38,HLOOKUP(INDIRECT(ADDRESS(2,COLUMN())),OFFSET($BN$2,0,0,ROW()-1,60),ROW()-1,FALSE))</f>
        <v>5939.6980000000003</v>
      </c>
      <c r="M12">
        <f ca="1">IF(AND(ISNUMBER($M$38),$B$28=1),$M$38,HLOOKUP(INDIRECT(ADDRESS(2,COLUMN())),OFFSET($BN$2,0,0,ROW()-1,60),ROW()-1,FALSE))</f>
        <v>6456.6049999999996</v>
      </c>
      <c r="N12">
        <f ca="1">IF(AND(ISNUMBER($N$38),$B$28=1),$N$38,HLOOKUP(INDIRECT(ADDRESS(2,COLUMN())),OFFSET($BN$2,0,0,ROW()-1,60),ROW()-1,FALSE))</f>
        <v>6732.7190000000001</v>
      </c>
      <c r="O12">
        <f ca="1">IF(AND(ISNUMBER($O$38),$B$28=1),$O$38,HLOOKUP(INDIRECT(ADDRESS(2,COLUMN())),OFFSET($BN$2,0,0,ROW()-1,60),ROW()-1,FALSE))</f>
        <v>6427.3729999999996</v>
      </c>
      <c r="P12">
        <f ca="1">IF(AND(ISNUMBER($P$38),$B$28=1),$P$38,HLOOKUP(INDIRECT(ADDRESS(2,COLUMN())),OFFSET($BN$2,0,0,ROW()-1,60),ROW()-1,FALSE))</f>
        <v>6096.6189999999997</v>
      </c>
      <c r="Q12">
        <f ca="1">IF(AND(ISNUMBER($Q$38),$B$28=1),$Q$38,HLOOKUP(INDIRECT(ADDRESS(2,COLUMN())),OFFSET($BN$2,0,0,ROW()-1,60),ROW()-1,FALSE))</f>
        <v>5313.116</v>
      </c>
      <c r="R12">
        <f ca="1">IF(AND(ISNUMBER($R$38),$B$28=1),$R$38,HLOOKUP(INDIRECT(ADDRESS(2,COLUMN())),OFFSET($BN$2,0,0,ROW()-1,60),ROW()-1,FALSE))</f>
        <v>5561.7659999999996</v>
      </c>
      <c r="S12">
        <f ca="1">IF(AND(ISNUMBER($S$38),$B$28=1),$S$38,HLOOKUP(INDIRECT(ADDRESS(2,COLUMN())),OFFSET($BN$2,0,0,ROW()-1,60),ROW()-1,FALSE))</f>
        <v>5283.9690000000001</v>
      </c>
      <c r="T12">
        <f ca="1">IF(AND(ISNUMBER($T$38),$B$28=1),$T$38,HLOOKUP(INDIRECT(ADDRESS(2,COLUMN())),OFFSET($BN$2,0,0,ROW()-1,60),ROW()-1,FALSE))</f>
        <v>4049.527</v>
      </c>
      <c r="U12">
        <f ca="1">IF(AND(ISNUMBER($U$38),$B$28=1),$U$38,HLOOKUP(INDIRECT(ADDRESS(2,COLUMN())),OFFSET($BN$2,0,0,ROW()-1,60),ROW()-1,FALSE))</f>
        <v>3765.3359999999998</v>
      </c>
      <c r="V12">
        <f ca="1">IF(AND(ISNUMBER($V$38),$B$28=1),$V$38,HLOOKUP(INDIRECT(ADDRESS(2,COLUMN())),OFFSET($BN$2,0,0,ROW()-1,60),ROW()-1,FALSE))</f>
        <v>3380.65</v>
      </c>
      <c r="W12">
        <f ca="1">IF(AND(ISNUMBER($W$38),$B$28=1),$W$38,HLOOKUP(INDIRECT(ADDRESS(2,COLUMN())),OFFSET($BN$2,0,0,ROW()-1,60),ROW()-1,FALSE))</f>
        <v>2952.922</v>
      </c>
      <c r="X12">
        <f ca="1">IF(AND(ISNUMBER($X$38),$B$28=1),$X$38,HLOOKUP(INDIRECT(ADDRESS(2,COLUMN())),OFFSET($BN$2,0,0,ROW()-1,60),ROW()-1,FALSE))</f>
        <v>3117.4430000000002</v>
      </c>
      <c r="Y12">
        <f ca="1">IF(AND(ISNUMBER($Y$38),$B$28=1),$Y$38,HLOOKUP(INDIRECT(ADDRESS(2,COLUMN())),OFFSET($BN$2,0,0,ROW()-1,60),ROW()-1,FALSE))</f>
        <v>3013.1770000000001</v>
      </c>
      <c r="Z12">
        <f ca="1">IF(AND(ISNUMBER($Z$38),$B$28=1),$Z$38,HLOOKUP(INDIRECT(ADDRESS(2,COLUMN())),OFFSET($BN$2,0,0,ROW()-1,60),ROW()-1,FALSE))</f>
        <v>2725.95</v>
      </c>
      <c r="AA12">
        <f ca="1">IF(AND(ISNUMBER($AA$38),$B$28=1),$AA$38,HLOOKUP(INDIRECT(ADDRESS(2,COLUMN())),OFFSET($BN$2,0,0,ROW()-1,60),ROW()-1,FALSE))</f>
        <v>1994.097</v>
      </c>
      <c r="AB12">
        <f ca="1">IF(AND(ISNUMBER($AB$38),$B$28=1),$AB$38,HLOOKUP(INDIRECT(ADDRESS(2,COLUMN())),OFFSET($BN$2,0,0,ROW()-1,60),ROW()-1,FALSE))</f>
        <v>1860.375</v>
      </c>
      <c r="AC12">
        <f ca="1">IF(AND(ISNUMBER($AC$38),$B$28=1),$AC$38,HLOOKUP(INDIRECT(ADDRESS(2,COLUMN())),OFFSET($BN$2,0,0,ROW()-1,60),ROW()-1,FALSE))</f>
        <v>1740.682</v>
      </c>
      <c r="AD12">
        <f ca="1">IF(AND(ISNUMBER($AD$38),$B$28=1),$AD$38,HLOOKUP(INDIRECT(ADDRESS(2,COLUMN())),OFFSET($BN$2,0,0,ROW()-1,60),ROW()-1,FALSE))</f>
        <v>1722.069</v>
      </c>
      <c r="AE12">
        <f ca="1">IF(AND(ISNUMBER($AE$38),$B$28=1),$AE$38,HLOOKUP(INDIRECT(ADDRESS(2,COLUMN())),OFFSET($BN$2,0,0,ROW()-1,60),ROW()-1,FALSE))</f>
        <v>1470.412</v>
      </c>
      <c r="AF12">
        <f ca="1">IF(AND(ISNUMBER($AF$38),$B$28=1),$AF$38,HLOOKUP(INDIRECT(ADDRESS(2,COLUMN())),OFFSET($BN$2,0,0,ROW()-1,60),ROW()-1,FALSE))</f>
        <v>1457.7059999999999</v>
      </c>
      <c r="AG12">
        <f ca="1">IF(AND(ISNUMBER($AG$38),$B$28=1),$AG$38,HLOOKUP(INDIRECT(ADDRESS(2,COLUMN())),OFFSET($BN$2,0,0,ROW()-1,60),ROW()-1,FALSE))</f>
        <v>1395.634</v>
      </c>
      <c r="AH12">
        <f ca="1">IF(AND(ISNUMBER($AH$38),$B$28=1),$AH$38,HLOOKUP(INDIRECT(ADDRESS(2,COLUMN())),OFFSET($BN$2,0,0,ROW()-1,60),ROW()-1,FALSE))</f>
        <v>1439.5150000000001</v>
      </c>
      <c r="AI12">
        <f ca="1">IF(AND(ISNUMBER($AI$38),$B$28=1),$AI$38,HLOOKUP(INDIRECT(ADDRESS(2,COLUMN())),OFFSET($BN$2,0,0,ROW()-1,60),ROW()-1,FALSE))</f>
        <v>1377.9159999999999</v>
      </c>
      <c r="AJ12">
        <f ca="1">IF(AND(ISNUMBER($AJ$38),$B$28=1),$AJ$38,HLOOKUP(INDIRECT(ADDRESS(2,COLUMN())),OFFSET($BN$2,0,0,ROW()-1,60),ROW()-1,FALSE))</f>
        <v>1766.1510000000001</v>
      </c>
      <c r="AK12">
        <f ca="1">IF(AND(ISNUMBER($AK$38),$B$28=1),$AK$38,HLOOKUP(INDIRECT(ADDRESS(2,COLUMN())),OFFSET($BN$2,0,0,ROW()-1,60),ROW()-1,FALSE))</f>
        <v>2028.441</v>
      </c>
      <c r="AL12">
        <f ca="1">IF(AND(ISNUMBER($AL$38),$B$28=1),$AL$38,HLOOKUP(INDIRECT(ADDRESS(2,COLUMN())),OFFSET($BN$2,0,0,ROW()-1,60),ROW()-1,FALSE))</f>
        <v>1901.0340000000001</v>
      </c>
      <c r="AM12">
        <f ca="1">IF(AND(ISNUMBER($AM$38),$B$28=1),$AM$38,HLOOKUP(INDIRECT(ADDRESS(2,COLUMN())),OFFSET($BN$2,0,0,ROW()-1,60),ROW()-1,FALSE))</f>
        <v>2752.1370000000002</v>
      </c>
      <c r="AN12">
        <f ca="1">IF(AND(ISNUMBER($AN$38),$B$28=1),$AN$38,HLOOKUP(INDIRECT(ADDRESS(2,COLUMN())),OFFSET($BN$2,0,0,ROW()-1,60),ROW()-1,FALSE))</f>
        <v>3034.6469999999999</v>
      </c>
      <c r="AO12">
        <f ca="1">IF(AND(ISNUMBER($AO$38),$B$28=1),$AO$38,HLOOKUP(INDIRECT(ADDRESS(2,COLUMN())),OFFSET($BN$2,0,0,ROW()-1,60),ROW()-1,FALSE))</f>
        <v>4295.8130000000001</v>
      </c>
      <c r="AP12">
        <f ca="1">IF(AND(ISNUMBER($AP$38),$B$28=1),$AP$38,HLOOKUP(INDIRECT(ADDRESS(2,COLUMN())),OFFSET($BN$2,0,0,ROW()-1,60),ROW()-1,FALSE))</f>
        <v>5459.78</v>
      </c>
      <c r="AQ12">
        <f ca="1">IF(AND(ISNUMBER($AQ$38),$B$28=1),$AQ$38,HLOOKUP(INDIRECT(ADDRESS(2,COLUMN())),OFFSET($BN$2,0,0,ROW()-1,60),ROW()-1,FALSE))</f>
        <v>8020.8220000000001</v>
      </c>
      <c r="AR12">
        <f ca="1">IF(AND(ISNUMBER($AR$38),$B$28=1),$AR$38,HLOOKUP(INDIRECT(ADDRESS(2,COLUMN())),OFFSET($BN$2,0,0,ROW()-1,60),ROW()-1,FALSE))</f>
        <v>8965.1149999999998</v>
      </c>
      <c r="AS12">
        <f ca="1">IF(AND(ISNUMBER($AS$38),$B$28=1),$AS$38,HLOOKUP(INDIRECT(ADDRESS(2,COLUMN())),OFFSET($BN$2,0,0,ROW()-1,60),ROW()-1,FALSE))</f>
        <v>9109.0040000000008</v>
      </c>
      <c r="AT12">
        <f ca="1">IF(AND(ISNUMBER($AT$38),$B$28=1),$AT$38,HLOOKUP(INDIRECT(ADDRESS(2,COLUMN())),OFFSET($BN$2,0,0,ROW()-1,60),ROW()-1,FALSE))</f>
        <v>8918.3449999999993</v>
      </c>
      <c r="AU12">
        <f ca="1">IF(AND(ISNUMBER($AU$38),$B$28=1),$AU$38,HLOOKUP(INDIRECT(ADDRESS(2,COLUMN())),OFFSET($BN$2,0,0,ROW()-1,60),ROW()-1,FALSE))</f>
        <v>7529.4179999999997</v>
      </c>
      <c r="AV12">
        <f ca="1">IF(AND(ISNUMBER($AV$38),$B$28=1),$AV$38,HLOOKUP(INDIRECT(ADDRESS(2,COLUMN())),OFFSET($BN$2,0,0,ROW()-1,60),ROW()-1,FALSE))</f>
        <v>6814.6620000000003</v>
      </c>
      <c r="AW12">
        <f ca="1">IF(AND(ISNUMBER($AW$38),$B$28=1),$AW$38,HLOOKUP(INDIRECT(ADDRESS(2,COLUMN())),OFFSET($BN$2,0,0,ROW()-1,60),ROW()-1,FALSE))</f>
        <v>6591.3850000000002</v>
      </c>
      <c r="AX12">
        <f ca="1">IF(AND(ISNUMBER($AX$38),$B$28=1),$AX$38,HLOOKUP(INDIRECT(ADDRESS(2,COLUMN())),OFFSET($BN$2,0,0,ROW()-1,60),ROW()-1,FALSE))</f>
        <v>6008.6540000000005</v>
      </c>
      <c r="AY12">
        <f ca="1">IF(AND(ISNUMBER($AY$38),$B$28=1),$AY$38,HLOOKUP(INDIRECT(ADDRESS(2,COLUMN())),OFFSET($BN$2,0,0,ROW()-1,60),ROW()-1,FALSE))</f>
        <v>5501.5339999999997</v>
      </c>
      <c r="AZ12">
        <f ca="1">IF(AND(ISNUMBER($AZ$38),$B$28=1),$AZ$38,HLOOKUP(INDIRECT(ADDRESS(2,COLUMN())),OFFSET($BN$2,0,0,ROW()-1,60),ROW()-1,FALSE))</f>
        <v>5275.7830000000004</v>
      </c>
      <c r="BA12">
        <f ca="1">IF(AND(ISNUMBER($BA$38),$B$28=1),$BA$38,HLOOKUP(INDIRECT(ADDRESS(2,COLUMN())),OFFSET($BN$2,0,0,ROW()-1,60),ROW()-1,FALSE))</f>
        <v>5013.076</v>
      </c>
      <c r="BB12">
        <f ca="1">IF(AND(ISNUMBER($BB$38),$B$28=1),$BB$38,HLOOKUP(INDIRECT(ADDRESS(2,COLUMN())),OFFSET($BN$2,0,0,ROW()-1,60),ROW()-1,FALSE))</f>
        <v>4747.1959999999999</v>
      </c>
      <c r="BC12">
        <f ca="1">IF(AND(ISNUMBER($BC$38),$B$28=1),$BC$38,HLOOKUP(INDIRECT(ADDRESS(2,COLUMN())),OFFSET($BN$2,0,0,ROW()-1,60),ROW()-1,FALSE))</f>
        <v>4740.951</v>
      </c>
      <c r="BD12">
        <f ca="1">IF(AND(ISNUMBER($BD$38),$B$28=1),$BD$38,HLOOKUP(INDIRECT(ADDRESS(2,COLUMN())),OFFSET($BN$2,0,0,ROW()-1,60),ROW()-1,FALSE))</f>
        <v>4311.692</v>
      </c>
      <c r="BE12">
        <f ca="1">IF(AND(ISNUMBER($BE$38),$B$28=1),$BE$38,HLOOKUP(INDIRECT(ADDRESS(2,COLUMN())),OFFSET($BN$2,0,0,ROW()-1,60),ROW()-1,FALSE))</f>
        <v>3973.9560000000001</v>
      </c>
      <c r="BF12">
        <f ca="1">IF(AND(ISNUMBER($BF$38),$B$28=1),$BF$38,HLOOKUP(INDIRECT(ADDRESS(2,COLUMN())),OFFSET($BN$2,0,0,ROW()-1,60),ROW()-1,FALSE))</f>
        <v>2146.7640000000001</v>
      </c>
      <c r="BG12">
        <f ca="1">IF(AND(ISNUMBER($BG$38),$B$28=1),$BG$38,HLOOKUP(INDIRECT(ADDRESS(2,COLUMN())),OFFSET($BN$2,0,0,ROW()-1,60),ROW()-1,FALSE))</f>
        <v>1807.2260000000001</v>
      </c>
      <c r="BH12">
        <f ca="1">IF(AND(ISNUMBER($BH$38),$B$28=1),$BH$38,HLOOKUP(INDIRECT(ADDRESS(2,COLUMN())),OFFSET($BN$2,0,0,ROW()-1,60),ROW()-1,FALSE))</f>
        <v>1533.8789999999999</v>
      </c>
      <c r="BI12">
        <f ca="1">IF(AND(ISNUMBER($BI$38),$B$28=1),$BI$38,HLOOKUP(INDIRECT(ADDRESS(2,COLUMN())),OFFSET($BN$2,0,0,ROW()-1,60),ROW()-1,FALSE))</f>
        <v>1518.5029999999999</v>
      </c>
      <c r="BJ12">
        <f ca="1">IF(AND(ISNUMBER($BJ$38),$B$28=1),$BJ$38,HLOOKUP(INDIRECT(ADDRESS(2,COLUMN())),OFFSET($BN$2,0,0,ROW()-1,60),ROW()-1,FALSE))</f>
        <v>1241.5239999999999</v>
      </c>
      <c r="BK12">
        <f ca="1">IF(AND(ISNUMBER($BK$38),$B$28=1),$BK$38,HLOOKUP(INDIRECT(ADDRESS(2,COLUMN())),OFFSET($BN$2,0,0,ROW()-1,60),ROW()-1,FALSE))</f>
        <v>811.55399999999997</v>
      </c>
      <c r="BL12">
        <f ca="1">IF(AND(ISNUMBER($BL$38),$B$28=1),$BL$38,HLOOKUP(INDIRECT(ADDRESS(2,COLUMN())),OFFSET($BN$2,0,0,ROW()-1,60),ROW()-1,FALSE))</f>
        <v>711.92</v>
      </c>
      <c r="BM12">
        <f ca="1">IF(AND(ISNUMBER($BM$38),$B$28=1),$BM$38,HLOOKUP(INDIRECT(ADDRESS(2,COLUMN())),OFFSET($BN$2,0,0,ROW()-1,60),ROW()-1,FALSE))</f>
        <v>688.33399999999995</v>
      </c>
      <c r="BN12">
        <f>6557.356</f>
        <v>6557.3559999999998</v>
      </c>
      <c r="BO12">
        <f>6655.097</f>
        <v>6655.0969999999998</v>
      </c>
      <c r="BP12">
        <f>6686.662</f>
        <v>6686.6620000000003</v>
      </c>
      <c r="BQ12">
        <f>6306.386</f>
        <v>6306.3860000000004</v>
      </c>
      <c r="BR12">
        <f>6225.602</f>
        <v>6225.6019999999999</v>
      </c>
      <c r="BS12">
        <f>6107.546</f>
        <v>6107.5460000000003</v>
      </c>
      <c r="BT12">
        <f>5939.698</f>
        <v>5939.6980000000003</v>
      </c>
      <c r="BU12">
        <f>6456.605</f>
        <v>6456.6049999999996</v>
      </c>
      <c r="BV12">
        <f>6732.719</f>
        <v>6732.7190000000001</v>
      </c>
      <c r="BW12">
        <f>6427.373</f>
        <v>6427.3729999999996</v>
      </c>
      <c r="BX12">
        <f>6096.619</f>
        <v>6096.6189999999997</v>
      </c>
      <c r="BY12">
        <f>5313.116</f>
        <v>5313.116</v>
      </c>
      <c r="BZ12">
        <f>5561.766</f>
        <v>5561.7659999999996</v>
      </c>
      <c r="CA12">
        <f>5283.969</f>
        <v>5283.9690000000001</v>
      </c>
      <c r="CB12">
        <f>4049.527</f>
        <v>4049.527</v>
      </c>
      <c r="CC12">
        <f>3765.336</f>
        <v>3765.3359999999998</v>
      </c>
      <c r="CD12">
        <f>3380.65</f>
        <v>3380.65</v>
      </c>
      <c r="CE12">
        <f>2952.922</f>
        <v>2952.922</v>
      </c>
      <c r="CF12">
        <f>3117.443</f>
        <v>3117.4430000000002</v>
      </c>
      <c r="CG12">
        <f>3013.177</f>
        <v>3013.1770000000001</v>
      </c>
      <c r="CH12">
        <f>2725.95</f>
        <v>2725.95</v>
      </c>
      <c r="CI12">
        <f>1994.097</f>
        <v>1994.097</v>
      </c>
      <c r="CJ12">
        <f>1860.375</f>
        <v>1860.375</v>
      </c>
      <c r="CK12">
        <f>1740.682</f>
        <v>1740.682</v>
      </c>
      <c r="CL12">
        <f>1722.069</f>
        <v>1722.069</v>
      </c>
      <c r="CM12">
        <f>1470.412</f>
        <v>1470.412</v>
      </c>
      <c r="CN12">
        <f>1457.706</f>
        <v>1457.7059999999999</v>
      </c>
      <c r="CO12">
        <f>1395.634</f>
        <v>1395.634</v>
      </c>
      <c r="CP12">
        <f>1439.515</f>
        <v>1439.5150000000001</v>
      </c>
      <c r="CQ12">
        <f>1377.916</f>
        <v>1377.9159999999999</v>
      </c>
      <c r="CR12">
        <f>1766.151</f>
        <v>1766.1510000000001</v>
      </c>
      <c r="CS12">
        <f>2028.441</f>
        <v>2028.441</v>
      </c>
      <c r="CT12">
        <f>1901.034</f>
        <v>1901.0340000000001</v>
      </c>
      <c r="CU12">
        <f>2752.137</f>
        <v>2752.1370000000002</v>
      </c>
      <c r="CV12">
        <f>3034.647</f>
        <v>3034.6469999999999</v>
      </c>
      <c r="CW12">
        <f>4295.813</f>
        <v>4295.8130000000001</v>
      </c>
      <c r="CX12">
        <f>5459.78</f>
        <v>5459.78</v>
      </c>
      <c r="CY12">
        <f>8020.822</f>
        <v>8020.8220000000001</v>
      </c>
      <c r="CZ12">
        <f>8965.115</f>
        <v>8965.1149999999998</v>
      </c>
      <c r="DA12">
        <f>9109.004</f>
        <v>9109.0040000000008</v>
      </c>
      <c r="DB12">
        <f>8918.345</f>
        <v>8918.3449999999993</v>
      </c>
      <c r="DC12">
        <f>7529.418</f>
        <v>7529.4179999999997</v>
      </c>
      <c r="DD12">
        <f>6814.662</f>
        <v>6814.6620000000003</v>
      </c>
      <c r="DE12">
        <f>6591.385</f>
        <v>6591.3850000000002</v>
      </c>
      <c r="DF12">
        <f>6008.654</f>
        <v>6008.6540000000005</v>
      </c>
      <c r="DG12">
        <f>5501.534</f>
        <v>5501.5339999999997</v>
      </c>
      <c r="DH12">
        <f>5275.783</f>
        <v>5275.7830000000004</v>
      </c>
      <c r="DI12">
        <f>5013.076</f>
        <v>5013.076</v>
      </c>
      <c r="DJ12">
        <f>4747.196</f>
        <v>4747.1959999999999</v>
      </c>
      <c r="DK12">
        <f>4740.951</f>
        <v>4740.951</v>
      </c>
      <c r="DL12">
        <f>4311.692</f>
        <v>4311.692</v>
      </c>
      <c r="DM12">
        <f>3973.956</f>
        <v>3973.9560000000001</v>
      </c>
      <c r="DN12">
        <f>2146.764</f>
        <v>2146.7640000000001</v>
      </c>
      <c r="DO12">
        <f>1807.226</f>
        <v>1807.2260000000001</v>
      </c>
      <c r="DP12">
        <f>1533.879</f>
        <v>1533.8789999999999</v>
      </c>
      <c r="DQ12">
        <f>1518.503</f>
        <v>1518.5029999999999</v>
      </c>
      <c r="DR12">
        <f>1241.524</f>
        <v>1241.5239999999999</v>
      </c>
      <c r="DS12">
        <f>811.554</f>
        <v>811.55399999999997</v>
      </c>
      <c r="DT12">
        <f>711.92</f>
        <v>711.92</v>
      </c>
      <c r="DU12">
        <f>688.334</f>
        <v>688.33399999999995</v>
      </c>
    </row>
    <row r="13" spans="1:125">
      <c r="BN13" t="str">
        <f>""</f>
        <v/>
      </c>
      <c r="BO13" t="str">
        <f>""</f>
        <v/>
      </c>
      <c r="BP13" t="str">
        <f>""</f>
        <v/>
      </c>
      <c r="BQ13" t="str">
        <f>""</f>
        <v/>
      </c>
      <c r="BR13" t="str">
        <f>""</f>
        <v/>
      </c>
      <c r="BS13" t="str">
        <f>""</f>
        <v/>
      </c>
      <c r="BT13" t="str">
        <f>""</f>
        <v/>
      </c>
      <c r="BU13" t="str">
        <f>""</f>
        <v/>
      </c>
      <c r="BV13" t="str">
        <f>""</f>
        <v/>
      </c>
      <c r="BW13" t="str">
        <f>""</f>
        <v/>
      </c>
      <c r="BX13" t="str">
        <f>""</f>
        <v/>
      </c>
      <c r="BY13" t="str">
        <f>""</f>
        <v/>
      </c>
      <c r="BZ13" t="str">
        <f>""</f>
        <v/>
      </c>
      <c r="CA13" t="str">
        <f>""</f>
        <v/>
      </c>
      <c r="CB13" t="str">
        <f>""</f>
        <v/>
      </c>
      <c r="CC13" t="str">
        <f>""</f>
        <v/>
      </c>
      <c r="CD13" t="str">
        <f>""</f>
        <v/>
      </c>
      <c r="CE13" t="str">
        <f>""</f>
        <v/>
      </c>
      <c r="CF13" t="str">
        <f>""</f>
        <v/>
      </c>
      <c r="CG13" t="str">
        <f>""</f>
        <v/>
      </c>
      <c r="CH13" t="str">
        <f>""</f>
        <v/>
      </c>
      <c r="CI13" t="str">
        <f>""</f>
        <v/>
      </c>
      <c r="CJ13" t="str">
        <f>""</f>
        <v/>
      </c>
      <c r="CK13" t="str">
        <f>""</f>
        <v/>
      </c>
      <c r="CL13" t="str">
        <f>""</f>
        <v/>
      </c>
      <c r="CM13" t="str">
        <f>""</f>
        <v/>
      </c>
      <c r="CN13" t="str">
        <f>""</f>
        <v/>
      </c>
      <c r="CO13" t="str">
        <f>""</f>
        <v/>
      </c>
      <c r="CP13" t="str">
        <f>""</f>
        <v/>
      </c>
      <c r="CQ13" t="str">
        <f>""</f>
        <v/>
      </c>
      <c r="CR13" t="str">
        <f>""</f>
        <v/>
      </c>
      <c r="CS13" t="str">
        <f>""</f>
        <v/>
      </c>
      <c r="CT13" t="str">
        <f>""</f>
        <v/>
      </c>
      <c r="CU13" t="str">
        <f>""</f>
        <v/>
      </c>
      <c r="CV13" t="str">
        <f>""</f>
        <v/>
      </c>
      <c r="CW13" t="str">
        <f>""</f>
        <v/>
      </c>
      <c r="CX13" t="str">
        <f>""</f>
        <v/>
      </c>
      <c r="CY13" t="str">
        <f>""</f>
        <v/>
      </c>
      <c r="CZ13" t="str">
        <f>""</f>
        <v/>
      </c>
      <c r="DA13" t="str">
        <f>""</f>
        <v/>
      </c>
      <c r="DB13" t="str">
        <f>""</f>
        <v/>
      </c>
      <c r="DC13" t="str">
        <f>""</f>
        <v/>
      </c>
      <c r="DD13" t="str">
        <f>""</f>
        <v/>
      </c>
      <c r="DE13" t="str">
        <f>""</f>
        <v/>
      </c>
      <c r="DF13" t="str">
        <f>""</f>
        <v/>
      </c>
      <c r="DG13" t="str">
        <f>""</f>
        <v/>
      </c>
      <c r="DH13" t="str">
        <f>""</f>
        <v/>
      </c>
      <c r="DI13" t="str">
        <f>""</f>
        <v/>
      </c>
      <c r="DJ13" t="str">
        <f>""</f>
        <v/>
      </c>
      <c r="DK13" t="str">
        <f>""</f>
        <v/>
      </c>
      <c r="DL13" t="str">
        <f>""</f>
        <v/>
      </c>
      <c r="DM13" t="str">
        <f>""</f>
        <v/>
      </c>
      <c r="DN13" t="str">
        <f>""</f>
        <v/>
      </c>
      <c r="DO13" t="str">
        <f>""</f>
        <v/>
      </c>
      <c r="DP13" t="str">
        <f>""</f>
        <v/>
      </c>
      <c r="DQ13" t="str">
        <f>""</f>
        <v/>
      </c>
      <c r="DR13" t="str">
        <f>""</f>
        <v/>
      </c>
      <c r="DS13" t="str">
        <f>""</f>
        <v/>
      </c>
      <c r="DT13" t="str">
        <f>""</f>
        <v/>
      </c>
      <c r="DU13" t="str">
        <f>""</f>
        <v/>
      </c>
    </row>
    <row r="14" spans="1:125">
      <c r="BN14" t="str">
        <f>""</f>
        <v/>
      </c>
      <c r="BO14" t="str">
        <f>""</f>
        <v/>
      </c>
      <c r="BP14" t="str">
        <f>""</f>
        <v/>
      </c>
      <c r="BQ14" t="str">
        <f>""</f>
        <v/>
      </c>
      <c r="BR14" t="str">
        <f>""</f>
        <v/>
      </c>
      <c r="BS14" t="str">
        <f>""</f>
        <v/>
      </c>
      <c r="BT14" t="str">
        <f>""</f>
        <v/>
      </c>
      <c r="BU14" t="str">
        <f>""</f>
        <v/>
      </c>
      <c r="BV14" t="str">
        <f>""</f>
        <v/>
      </c>
      <c r="BW14" t="str">
        <f>""</f>
        <v/>
      </c>
      <c r="BX14" t="str">
        <f>""</f>
        <v/>
      </c>
      <c r="BY14" t="str">
        <f>""</f>
        <v/>
      </c>
      <c r="BZ14" t="str">
        <f>""</f>
        <v/>
      </c>
      <c r="CA14" t="str">
        <f>""</f>
        <v/>
      </c>
      <c r="CB14" t="str">
        <f>""</f>
        <v/>
      </c>
      <c r="CC14" t="str">
        <f>""</f>
        <v/>
      </c>
      <c r="CD14" t="str">
        <f>""</f>
        <v/>
      </c>
      <c r="CE14" t="str">
        <f>""</f>
        <v/>
      </c>
      <c r="CF14" t="str">
        <f>""</f>
        <v/>
      </c>
      <c r="CG14" t="str">
        <f>""</f>
        <v/>
      </c>
      <c r="CH14" t="str">
        <f>""</f>
        <v/>
      </c>
      <c r="CI14" t="str">
        <f>""</f>
        <v/>
      </c>
      <c r="CJ14" t="str">
        <f>""</f>
        <v/>
      </c>
      <c r="CK14" t="str">
        <f>""</f>
        <v/>
      </c>
      <c r="CL14" t="str">
        <f>""</f>
        <v/>
      </c>
      <c r="CM14" t="str">
        <f>""</f>
        <v/>
      </c>
      <c r="CN14" t="str">
        <f>""</f>
        <v/>
      </c>
      <c r="CO14" t="str">
        <f>""</f>
        <v/>
      </c>
      <c r="CP14" t="str">
        <f>""</f>
        <v/>
      </c>
      <c r="CQ14" t="str">
        <f>""</f>
        <v/>
      </c>
      <c r="CR14" t="str">
        <f>""</f>
        <v/>
      </c>
      <c r="CS14" t="str">
        <f>""</f>
        <v/>
      </c>
      <c r="CT14" t="str">
        <f>""</f>
        <v/>
      </c>
      <c r="CU14" t="str">
        <f>""</f>
        <v/>
      </c>
      <c r="CV14" t="str">
        <f>""</f>
        <v/>
      </c>
      <c r="CW14" t="str">
        <f>""</f>
        <v/>
      </c>
      <c r="CX14" t="str">
        <f>""</f>
        <v/>
      </c>
      <c r="CY14" t="str">
        <f>""</f>
        <v/>
      </c>
      <c r="CZ14" t="str">
        <f>""</f>
        <v/>
      </c>
      <c r="DA14" t="str">
        <f>""</f>
        <v/>
      </c>
      <c r="DB14" t="str">
        <f>""</f>
        <v/>
      </c>
      <c r="DC14" t="str">
        <f>""</f>
        <v/>
      </c>
      <c r="DD14" t="str">
        <f>""</f>
        <v/>
      </c>
      <c r="DE14" t="str">
        <f>""</f>
        <v/>
      </c>
      <c r="DF14" t="str">
        <f>""</f>
        <v/>
      </c>
      <c r="DG14" t="str">
        <f>""</f>
        <v/>
      </c>
      <c r="DH14" t="str">
        <f>""</f>
        <v/>
      </c>
      <c r="DI14" t="str">
        <f>""</f>
        <v/>
      </c>
      <c r="DJ14" t="str">
        <f>""</f>
        <v/>
      </c>
      <c r="DK14" t="str">
        <f>""</f>
        <v/>
      </c>
      <c r="DL14" t="str">
        <f>""</f>
        <v/>
      </c>
      <c r="DM14" t="str">
        <f>""</f>
        <v/>
      </c>
      <c r="DN14" t="str">
        <f>""</f>
        <v/>
      </c>
      <c r="DO14" t="str">
        <f>""</f>
        <v/>
      </c>
      <c r="DP14" t="str">
        <f>""</f>
        <v/>
      </c>
      <c r="DQ14" t="str">
        <f>""</f>
        <v/>
      </c>
      <c r="DR14" t="str">
        <f>""</f>
        <v/>
      </c>
      <c r="DS14" t="str">
        <f>""</f>
        <v/>
      </c>
      <c r="DT14" t="str">
        <f>""</f>
        <v/>
      </c>
      <c r="DU14" t="str">
        <f>""</f>
        <v/>
      </c>
    </row>
    <row r="15" spans="1:125">
      <c r="BN15" t="str">
        <f>""</f>
        <v/>
      </c>
      <c r="BO15" t="str">
        <f>""</f>
        <v/>
      </c>
      <c r="BP15" t="str">
        <f>""</f>
        <v/>
      </c>
      <c r="BQ15" t="str">
        <f>""</f>
        <v/>
      </c>
      <c r="BR15" t="str">
        <f>""</f>
        <v/>
      </c>
      <c r="BS15" t="str">
        <f>""</f>
        <v/>
      </c>
      <c r="BT15" t="str">
        <f>""</f>
        <v/>
      </c>
      <c r="BU15" t="str">
        <f>""</f>
        <v/>
      </c>
      <c r="BV15" t="str">
        <f>""</f>
        <v/>
      </c>
      <c r="BW15" t="str">
        <f>""</f>
        <v/>
      </c>
      <c r="BX15" t="str">
        <f>""</f>
        <v/>
      </c>
      <c r="BY15" t="str">
        <f>""</f>
        <v/>
      </c>
      <c r="BZ15" t="str">
        <f>""</f>
        <v/>
      </c>
      <c r="CA15" t="str">
        <f>""</f>
        <v/>
      </c>
      <c r="CB15" t="str">
        <f>""</f>
        <v/>
      </c>
      <c r="CC15" t="str">
        <f>""</f>
        <v/>
      </c>
      <c r="CD15" t="str">
        <f>""</f>
        <v/>
      </c>
      <c r="CE15" t="str">
        <f>""</f>
        <v/>
      </c>
      <c r="CF15" t="str">
        <f>""</f>
        <v/>
      </c>
      <c r="CG15" t="str">
        <f>""</f>
        <v/>
      </c>
      <c r="CH15" t="str">
        <f>""</f>
        <v/>
      </c>
      <c r="CI15" t="str">
        <f>""</f>
        <v/>
      </c>
      <c r="CJ15" t="str">
        <f>""</f>
        <v/>
      </c>
      <c r="CK15" t="str">
        <f>""</f>
        <v/>
      </c>
      <c r="CL15" t="str">
        <f>""</f>
        <v/>
      </c>
      <c r="CM15" t="str">
        <f>""</f>
        <v/>
      </c>
      <c r="CN15" t="str">
        <f>""</f>
        <v/>
      </c>
      <c r="CO15" t="str">
        <f>""</f>
        <v/>
      </c>
      <c r="CP15" t="str">
        <f>""</f>
        <v/>
      </c>
      <c r="CQ15" t="str">
        <f>""</f>
        <v/>
      </c>
      <c r="CR15" t="str">
        <f>""</f>
        <v/>
      </c>
      <c r="CS15" t="str">
        <f>""</f>
        <v/>
      </c>
      <c r="CT15" t="str">
        <f>""</f>
        <v/>
      </c>
      <c r="CU15" t="str">
        <f>""</f>
        <v/>
      </c>
      <c r="CV15" t="str">
        <f>""</f>
        <v/>
      </c>
      <c r="CW15" t="str">
        <f>""</f>
        <v/>
      </c>
      <c r="CX15" t="str">
        <f>""</f>
        <v/>
      </c>
      <c r="CY15" t="str">
        <f>""</f>
        <v/>
      </c>
      <c r="CZ15" t="str">
        <f>""</f>
        <v/>
      </c>
      <c r="DA15" t="str">
        <f>""</f>
        <v/>
      </c>
      <c r="DB15" t="str">
        <f>""</f>
        <v/>
      </c>
      <c r="DC15" t="str">
        <f>""</f>
        <v/>
      </c>
      <c r="DD15" t="str">
        <f>""</f>
        <v/>
      </c>
      <c r="DE15" t="str">
        <f>""</f>
        <v/>
      </c>
      <c r="DF15" t="str">
        <f>""</f>
        <v/>
      </c>
      <c r="DG15" t="str">
        <f>""</f>
        <v/>
      </c>
      <c r="DH15" t="str">
        <f>""</f>
        <v/>
      </c>
      <c r="DI15" t="str">
        <f>""</f>
        <v/>
      </c>
      <c r="DJ15" t="str">
        <f>""</f>
        <v/>
      </c>
      <c r="DK15" t="str">
        <f>""</f>
        <v/>
      </c>
      <c r="DL15" t="str">
        <f>""</f>
        <v/>
      </c>
      <c r="DM15" t="str">
        <f>""</f>
        <v/>
      </c>
      <c r="DN15" t="str">
        <f>""</f>
        <v/>
      </c>
      <c r="DO15" t="str">
        <f>""</f>
        <v/>
      </c>
      <c r="DP15" t="str">
        <f>""</f>
        <v/>
      </c>
      <c r="DQ15" t="str">
        <f>""</f>
        <v/>
      </c>
      <c r="DR15" t="str">
        <f>""</f>
        <v/>
      </c>
      <c r="DS15" t="str">
        <f>""</f>
        <v/>
      </c>
      <c r="DT15" t="str">
        <f>""</f>
        <v/>
      </c>
      <c r="DU15" t="str">
        <f>""</f>
        <v/>
      </c>
    </row>
    <row r="16" spans="1:125">
      <c r="BN16" t="str">
        <f>""</f>
        <v/>
      </c>
      <c r="BO16" t="str">
        <f>""</f>
        <v/>
      </c>
      <c r="BP16" t="str">
        <f>""</f>
        <v/>
      </c>
      <c r="BQ16" t="str">
        <f>""</f>
        <v/>
      </c>
      <c r="BR16" t="str">
        <f>""</f>
        <v/>
      </c>
      <c r="BS16" t="str">
        <f>""</f>
        <v/>
      </c>
      <c r="BT16" t="str">
        <f>""</f>
        <v/>
      </c>
      <c r="BU16" t="str">
        <f>""</f>
        <v/>
      </c>
      <c r="BV16" t="str">
        <f>""</f>
        <v/>
      </c>
      <c r="BW16" t="str">
        <f>""</f>
        <v/>
      </c>
      <c r="BX16" t="str">
        <f>""</f>
        <v/>
      </c>
      <c r="BY16" t="str">
        <f>""</f>
        <v/>
      </c>
      <c r="BZ16" t="str">
        <f>""</f>
        <v/>
      </c>
      <c r="CA16" t="str">
        <f>""</f>
        <v/>
      </c>
      <c r="CB16" t="str">
        <f>""</f>
        <v/>
      </c>
      <c r="CC16" t="str">
        <f>""</f>
        <v/>
      </c>
      <c r="CD16" t="str">
        <f>""</f>
        <v/>
      </c>
      <c r="CE16" t="str">
        <f>""</f>
        <v/>
      </c>
      <c r="CF16" t="str">
        <f>""</f>
        <v/>
      </c>
      <c r="CG16" t="str">
        <f>""</f>
        <v/>
      </c>
      <c r="CH16" t="str">
        <f>""</f>
        <v/>
      </c>
      <c r="CI16" t="str">
        <f>""</f>
        <v/>
      </c>
      <c r="CJ16" t="str">
        <f>""</f>
        <v/>
      </c>
      <c r="CK16" t="str">
        <f>""</f>
        <v/>
      </c>
      <c r="CL16" t="str">
        <f>""</f>
        <v/>
      </c>
      <c r="CM16" t="str">
        <f>""</f>
        <v/>
      </c>
      <c r="CN16" t="str">
        <f>""</f>
        <v/>
      </c>
      <c r="CO16" t="str">
        <f>""</f>
        <v/>
      </c>
      <c r="CP16" t="str">
        <f>""</f>
        <v/>
      </c>
      <c r="CQ16" t="str">
        <f>""</f>
        <v/>
      </c>
      <c r="CR16" t="str">
        <f>""</f>
        <v/>
      </c>
      <c r="CS16" t="str">
        <f>""</f>
        <v/>
      </c>
      <c r="CT16" t="str">
        <f>""</f>
        <v/>
      </c>
      <c r="CU16" t="str">
        <f>""</f>
        <v/>
      </c>
      <c r="CV16" t="str">
        <f>""</f>
        <v/>
      </c>
      <c r="CW16" t="str">
        <f>""</f>
        <v/>
      </c>
      <c r="CX16" t="str">
        <f>""</f>
        <v/>
      </c>
      <c r="CY16" t="str">
        <f>""</f>
        <v/>
      </c>
      <c r="CZ16" t="str">
        <f>""</f>
        <v/>
      </c>
      <c r="DA16" t="str">
        <f>""</f>
        <v/>
      </c>
      <c r="DB16" t="str">
        <f>""</f>
        <v/>
      </c>
      <c r="DC16" t="str">
        <f>""</f>
        <v/>
      </c>
      <c r="DD16" t="str">
        <f>""</f>
        <v/>
      </c>
      <c r="DE16" t="str">
        <f>""</f>
        <v/>
      </c>
      <c r="DF16" t="str">
        <f>""</f>
        <v/>
      </c>
      <c r="DG16" t="str">
        <f>""</f>
        <v/>
      </c>
      <c r="DH16" t="str">
        <f>""</f>
        <v/>
      </c>
      <c r="DI16" t="str">
        <f>""</f>
        <v/>
      </c>
      <c r="DJ16" t="str">
        <f>""</f>
        <v/>
      </c>
      <c r="DK16" t="str">
        <f>""</f>
        <v/>
      </c>
      <c r="DL16" t="str">
        <f>""</f>
        <v/>
      </c>
      <c r="DM16" t="str">
        <f>""</f>
        <v/>
      </c>
      <c r="DN16" t="str">
        <f>""</f>
        <v/>
      </c>
      <c r="DO16" t="str">
        <f>""</f>
        <v/>
      </c>
      <c r="DP16" t="str">
        <f>""</f>
        <v/>
      </c>
      <c r="DQ16" t="str">
        <f>""</f>
        <v/>
      </c>
      <c r="DR16" t="str">
        <f>""</f>
        <v/>
      </c>
      <c r="DS16" t="str">
        <f>""</f>
        <v/>
      </c>
      <c r="DT16" t="str">
        <f>""</f>
        <v/>
      </c>
      <c r="DU16" t="str">
        <f>""</f>
        <v/>
      </c>
    </row>
    <row r="17" spans="1:125">
      <c r="BN17" t="str">
        <f>""</f>
        <v/>
      </c>
      <c r="BO17" t="str">
        <f>""</f>
        <v/>
      </c>
      <c r="BP17" t="str">
        <f>""</f>
        <v/>
      </c>
      <c r="BQ17" t="str">
        <f>""</f>
        <v/>
      </c>
      <c r="BR17" t="str">
        <f>""</f>
        <v/>
      </c>
      <c r="BS17" t="str">
        <f>""</f>
        <v/>
      </c>
      <c r="BT17" t="str">
        <f>""</f>
        <v/>
      </c>
      <c r="BU17" t="str">
        <f>""</f>
        <v/>
      </c>
      <c r="BV17" t="str">
        <f>""</f>
        <v/>
      </c>
      <c r="BW17" t="str">
        <f>""</f>
        <v/>
      </c>
      <c r="BX17" t="str">
        <f>""</f>
        <v/>
      </c>
      <c r="BY17" t="str">
        <f>""</f>
        <v/>
      </c>
      <c r="BZ17" t="str">
        <f>""</f>
        <v/>
      </c>
      <c r="CA17" t="str">
        <f>""</f>
        <v/>
      </c>
      <c r="CB17" t="str">
        <f>""</f>
        <v/>
      </c>
      <c r="CC17" t="str">
        <f>""</f>
        <v/>
      </c>
      <c r="CD17" t="str">
        <f>""</f>
        <v/>
      </c>
      <c r="CE17" t="str">
        <f>""</f>
        <v/>
      </c>
      <c r="CF17" t="str">
        <f>""</f>
        <v/>
      </c>
      <c r="CG17" t="str">
        <f>""</f>
        <v/>
      </c>
      <c r="CH17" t="str">
        <f>""</f>
        <v/>
      </c>
      <c r="CI17" t="str">
        <f>""</f>
        <v/>
      </c>
      <c r="CJ17" t="str">
        <f>""</f>
        <v/>
      </c>
      <c r="CK17" t="str">
        <f>""</f>
        <v/>
      </c>
      <c r="CL17" t="str">
        <f>""</f>
        <v/>
      </c>
      <c r="CM17" t="str">
        <f>""</f>
        <v/>
      </c>
      <c r="CN17" t="str">
        <f>""</f>
        <v/>
      </c>
      <c r="CO17" t="str">
        <f>""</f>
        <v/>
      </c>
      <c r="CP17" t="str">
        <f>""</f>
        <v/>
      </c>
      <c r="CQ17" t="str">
        <f>""</f>
        <v/>
      </c>
      <c r="CR17" t="str">
        <f>""</f>
        <v/>
      </c>
      <c r="CS17" t="str">
        <f>""</f>
        <v/>
      </c>
      <c r="CT17" t="str">
        <f>""</f>
        <v/>
      </c>
      <c r="CU17" t="str">
        <f>""</f>
        <v/>
      </c>
      <c r="CV17" t="str">
        <f>""</f>
        <v/>
      </c>
      <c r="CW17" t="str">
        <f>""</f>
        <v/>
      </c>
      <c r="CX17" t="str">
        <f>""</f>
        <v/>
      </c>
      <c r="CY17" t="str">
        <f>""</f>
        <v/>
      </c>
      <c r="CZ17" t="str">
        <f>""</f>
        <v/>
      </c>
      <c r="DA17" t="str">
        <f>""</f>
        <v/>
      </c>
      <c r="DB17" t="str">
        <f>""</f>
        <v/>
      </c>
      <c r="DC17" t="str">
        <f>""</f>
        <v/>
      </c>
      <c r="DD17" t="str">
        <f>""</f>
        <v/>
      </c>
      <c r="DE17" t="str">
        <f>""</f>
        <v/>
      </c>
      <c r="DF17" t="str">
        <f>""</f>
        <v/>
      </c>
      <c r="DG17" t="str">
        <f>""</f>
        <v/>
      </c>
      <c r="DH17" t="str">
        <f>""</f>
        <v/>
      </c>
      <c r="DI17" t="str">
        <f>""</f>
        <v/>
      </c>
      <c r="DJ17" t="str">
        <f>""</f>
        <v/>
      </c>
      <c r="DK17" t="str">
        <f>""</f>
        <v/>
      </c>
      <c r="DL17" t="str">
        <f>""</f>
        <v/>
      </c>
      <c r="DM17" t="str">
        <f>""</f>
        <v/>
      </c>
      <c r="DN17" t="str">
        <f>""</f>
        <v/>
      </c>
      <c r="DO17" t="str">
        <f>""</f>
        <v/>
      </c>
      <c r="DP17" t="str">
        <f>""</f>
        <v/>
      </c>
      <c r="DQ17" t="str">
        <f>""</f>
        <v/>
      </c>
      <c r="DR17" t="str">
        <f>""</f>
        <v/>
      </c>
      <c r="DS17" t="str">
        <f>""</f>
        <v/>
      </c>
      <c r="DT17" t="str">
        <f>""</f>
        <v/>
      </c>
      <c r="DU17" t="str">
        <f>""</f>
        <v/>
      </c>
    </row>
    <row r="18" spans="1:125">
      <c r="BN18" t="str">
        <f>""</f>
        <v/>
      </c>
      <c r="BO18" t="str">
        <f>""</f>
        <v/>
      </c>
      <c r="BP18" t="str">
        <f>""</f>
        <v/>
      </c>
      <c r="BQ18" t="str">
        <f>""</f>
        <v/>
      </c>
      <c r="BR18" t="str">
        <f>""</f>
        <v/>
      </c>
      <c r="BS18" t="str">
        <f>""</f>
        <v/>
      </c>
      <c r="BT18" t="str">
        <f>""</f>
        <v/>
      </c>
      <c r="BU18" t="str">
        <f>""</f>
        <v/>
      </c>
      <c r="BV18" t="str">
        <f>""</f>
        <v/>
      </c>
      <c r="BW18" t="str">
        <f>""</f>
        <v/>
      </c>
      <c r="BX18" t="str">
        <f>""</f>
        <v/>
      </c>
      <c r="BY18" t="str">
        <f>""</f>
        <v/>
      </c>
      <c r="BZ18" t="str">
        <f>""</f>
        <v/>
      </c>
      <c r="CA18" t="str">
        <f>""</f>
        <v/>
      </c>
      <c r="CB18" t="str">
        <f>""</f>
        <v/>
      </c>
      <c r="CC18" t="str">
        <f>""</f>
        <v/>
      </c>
      <c r="CD18" t="str">
        <f>""</f>
        <v/>
      </c>
      <c r="CE18" t="str">
        <f>""</f>
        <v/>
      </c>
      <c r="CF18" t="str">
        <f>""</f>
        <v/>
      </c>
      <c r="CG18" t="str">
        <f>""</f>
        <v/>
      </c>
      <c r="CH18" t="str">
        <f>""</f>
        <v/>
      </c>
      <c r="CI18" t="str">
        <f>""</f>
        <v/>
      </c>
      <c r="CJ18" t="str">
        <f>""</f>
        <v/>
      </c>
      <c r="CK18" t="str">
        <f>""</f>
        <v/>
      </c>
      <c r="CL18" t="str">
        <f>""</f>
        <v/>
      </c>
      <c r="CM18" t="str">
        <f>""</f>
        <v/>
      </c>
      <c r="CN18" t="str">
        <f>""</f>
        <v/>
      </c>
      <c r="CO18" t="str">
        <f>""</f>
        <v/>
      </c>
      <c r="CP18" t="str">
        <f>""</f>
        <v/>
      </c>
      <c r="CQ18" t="str">
        <f>""</f>
        <v/>
      </c>
      <c r="CR18" t="str">
        <f>""</f>
        <v/>
      </c>
      <c r="CS18" t="str">
        <f>""</f>
        <v/>
      </c>
      <c r="CT18" t="str">
        <f>""</f>
        <v/>
      </c>
      <c r="CU18" t="str">
        <f>""</f>
        <v/>
      </c>
      <c r="CV18" t="str">
        <f>""</f>
        <v/>
      </c>
      <c r="CW18" t="str">
        <f>""</f>
        <v/>
      </c>
      <c r="CX18" t="str">
        <f>""</f>
        <v/>
      </c>
      <c r="CY18" t="str">
        <f>""</f>
        <v/>
      </c>
      <c r="CZ18" t="str">
        <f>""</f>
        <v/>
      </c>
      <c r="DA18" t="str">
        <f>""</f>
        <v/>
      </c>
      <c r="DB18" t="str">
        <f>""</f>
        <v/>
      </c>
      <c r="DC18" t="str">
        <f>""</f>
        <v/>
      </c>
      <c r="DD18" t="str">
        <f>""</f>
        <v/>
      </c>
      <c r="DE18" t="str">
        <f>""</f>
        <v/>
      </c>
      <c r="DF18" t="str">
        <f>""</f>
        <v/>
      </c>
      <c r="DG18" t="str">
        <f>""</f>
        <v/>
      </c>
      <c r="DH18" t="str">
        <f>""</f>
        <v/>
      </c>
      <c r="DI18" t="str">
        <f>""</f>
        <v/>
      </c>
      <c r="DJ18" t="str">
        <f>""</f>
        <v/>
      </c>
      <c r="DK18" t="str">
        <f>""</f>
        <v/>
      </c>
      <c r="DL18" t="str">
        <f>""</f>
        <v/>
      </c>
      <c r="DM18" t="str">
        <f>""</f>
        <v/>
      </c>
      <c r="DN18" t="str">
        <f>""</f>
        <v/>
      </c>
      <c r="DO18" t="str">
        <f>""</f>
        <v/>
      </c>
      <c r="DP18" t="str">
        <f>""</f>
        <v/>
      </c>
      <c r="DQ18" t="str">
        <f>""</f>
        <v/>
      </c>
      <c r="DR18" t="str">
        <f>""</f>
        <v/>
      </c>
      <c r="DS18" t="str">
        <f>""</f>
        <v/>
      </c>
      <c r="DT18" t="str">
        <f>""</f>
        <v/>
      </c>
      <c r="DU18" t="str">
        <f>""</f>
        <v/>
      </c>
    </row>
    <row r="19" spans="1:125">
      <c r="BN19" t="str">
        <f>""</f>
        <v/>
      </c>
      <c r="BO19" t="str">
        <f>""</f>
        <v/>
      </c>
      <c r="BP19" t="str">
        <f>""</f>
        <v/>
      </c>
      <c r="BQ19" t="str">
        <f>""</f>
        <v/>
      </c>
      <c r="BR19" t="str">
        <f>""</f>
        <v/>
      </c>
      <c r="BS19" t="str">
        <f>""</f>
        <v/>
      </c>
      <c r="BT19" t="str">
        <f>""</f>
        <v/>
      </c>
      <c r="BU19" t="str">
        <f>""</f>
        <v/>
      </c>
      <c r="BV19" t="str">
        <f>""</f>
        <v/>
      </c>
      <c r="BW19" t="str">
        <f>""</f>
        <v/>
      </c>
      <c r="BX19" t="str">
        <f>""</f>
        <v/>
      </c>
      <c r="BY19" t="str">
        <f>""</f>
        <v/>
      </c>
      <c r="BZ19" t="str">
        <f>""</f>
        <v/>
      </c>
      <c r="CA19" t="str">
        <f>""</f>
        <v/>
      </c>
      <c r="CB19" t="str">
        <f>""</f>
        <v/>
      </c>
      <c r="CC19" t="str">
        <f>""</f>
        <v/>
      </c>
      <c r="CD19" t="str">
        <f>""</f>
        <v/>
      </c>
      <c r="CE19" t="str">
        <f>""</f>
        <v/>
      </c>
      <c r="CF19" t="str">
        <f>""</f>
        <v/>
      </c>
      <c r="CG19" t="str">
        <f>""</f>
        <v/>
      </c>
      <c r="CH19" t="str">
        <f>""</f>
        <v/>
      </c>
      <c r="CI19" t="str">
        <f>""</f>
        <v/>
      </c>
      <c r="CJ19" t="str">
        <f>""</f>
        <v/>
      </c>
      <c r="CK19" t="str">
        <f>""</f>
        <v/>
      </c>
      <c r="CL19" t="str">
        <f>""</f>
        <v/>
      </c>
      <c r="CM19" t="str">
        <f>""</f>
        <v/>
      </c>
      <c r="CN19" t="str">
        <f>""</f>
        <v/>
      </c>
      <c r="CO19" t="str">
        <f>""</f>
        <v/>
      </c>
      <c r="CP19" t="str">
        <f>""</f>
        <v/>
      </c>
      <c r="CQ19" t="str">
        <f>""</f>
        <v/>
      </c>
      <c r="CR19" t="str">
        <f>""</f>
        <v/>
      </c>
      <c r="CS19" t="str">
        <f>""</f>
        <v/>
      </c>
      <c r="CT19" t="str">
        <f>""</f>
        <v/>
      </c>
      <c r="CU19" t="str">
        <f>""</f>
        <v/>
      </c>
      <c r="CV19" t="str">
        <f>""</f>
        <v/>
      </c>
      <c r="CW19" t="str">
        <f>""</f>
        <v/>
      </c>
      <c r="CX19" t="str">
        <f>""</f>
        <v/>
      </c>
      <c r="CY19" t="str">
        <f>""</f>
        <v/>
      </c>
      <c r="CZ19" t="str">
        <f>""</f>
        <v/>
      </c>
      <c r="DA19" t="str">
        <f>""</f>
        <v/>
      </c>
      <c r="DB19" t="str">
        <f>""</f>
        <v/>
      </c>
      <c r="DC19" t="str">
        <f>""</f>
        <v/>
      </c>
      <c r="DD19" t="str">
        <f>""</f>
        <v/>
      </c>
      <c r="DE19" t="str">
        <f>""</f>
        <v/>
      </c>
      <c r="DF19" t="str">
        <f>""</f>
        <v/>
      </c>
      <c r="DG19" t="str">
        <f>""</f>
        <v/>
      </c>
      <c r="DH19" t="str">
        <f>""</f>
        <v/>
      </c>
      <c r="DI19" t="str">
        <f>""</f>
        <v/>
      </c>
      <c r="DJ19" t="str">
        <f>""</f>
        <v/>
      </c>
      <c r="DK19" t="str">
        <f>""</f>
        <v/>
      </c>
      <c r="DL19" t="str">
        <f>""</f>
        <v/>
      </c>
      <c r="DM19" t="str">
        <f>""</f>
        <v/>
      </c>
      <c r="DN19" t="str">
        <f>""</f>
        <v/>
      </c>
      <c r="DO19" t="str">
        <f>""</f>
        <v/>
      </c>
      <c r="DP19" t="str">
        <f>""</f>
        <v/>
      </c>
      <c r="DQ19" t="str">
        <f>""</f>
        <v/>
      </c>
      <c r="DR19" t="str">
        <f>""</f>
        <v/>
      </c>
      <c r="DS19" t="str">
        <f>""</f>
        <v/>
      </c>
      <c r="DT19" t="str">
        <f>""</f>
        <v/>
      </c>
      <c r="DU19" t="str">
        <f>""</f>
        <v/>
      </c>
    </row>
    <row r="20" spans="1:125">
      <c r="A20" t="str">
        <f t="shared" ref="A20:AF20" si="2">"~~~~~~~~~~"</f>
        <v>~~~~~~~~~~</v>
      </c>
      <c r="B20" t="str">
        <f t="shared" si="2"/>
        <v>~~~~~~~~~~</v>
      </c>
      <c r="C20" t="str">
        <f t="shared" si="2"/>
        <v>~~~~~~~~~~</v>
      </c>
      <c r="D20" t="str">
        <f t="shared" si="2"/>
        <v>~~~~~~~~~~</v>
      </c>
      <c r="E20" t="str">
        <f t="shared" si="2"/>
        <v>~~~~~~~~~~</v>
      </c>
      <c r="F20" t="str">
        <f t="shared" si="2"/>
        <v>~~~~~~~~~~</v>
      </c>
      <c r="G20" t="str">
        <f t="shared" si="2"/>
        <v>~~~~~~~~~~</v>
      </c>
      <c r="H20" t="str">
        <f t="shared" si="2"/>
        <v>~~~~~~~~~~</v>
      </c>
      <c r="I20" t="str">
        <f t="shared" si="2"/>
        <v>~~~~~~~~~~</v>
      </c>
      <c r="J20" t="str">
        <f t="shared" si="2"/>
        <v>~~~~~~~~~~</v>
      </c>
      <c r="K20" t="str">
        <f t="shared" si="2"/>
        <v>~~~~~~~~~~</v>
      </c>
      <c r="L20" t="str">
        <f t="shared" si="2"/>
        <v>~~~~~~~~~~</v>
      </c>
      <c r="M20" t="str">
        <f t="shared" si="2"/>
        <v>~~~~~~~~~~</v>
      </c>
      <c r="N20" t="str">
        <f t="shared" si="2"/>
        <v>~~~~~~~~~~</v>
      </c>
      <c r="O20" t="str">
        <f t="shared" si="2"/>
        <v>~~~~~~~~~~</v>
      </c>
      <c r="P20" t="str">
        <f t="shared" si="2"/>
        <v>~~~~~~~~~~</v>
      </c>
      <c r="Q20" t="str">
        <f t="shared" si="2"/>
        <v>~~~~~~~~~~</v>
      </c>
      <c r="R20" t="str">
        <f t="shared" si="2"/>
        <v>~~~~~~~~~~</v>
      </c>
      <c r="S20" t="str">
        <f t="shared" si="2"/>
        <v>~~~~~~~~~~</v>
      </c>
      <c r="T20" t="str">
        <f t="shared" si="2"/>
        <v>~~~~~~~~~~</v>
      </c>
      <c r="U20" t="str">
        <f t="shared" si="2"/>
        <v>~~~~~~~~~~</v>
      </c>
      <c r="V20" t="str">
        <f t="shared" si="2"/>
        <v>~~~~~~~~~~</v>
      </c>
      <c r="W20" t="str">
        <f t="shared" si="2"/>
        <v>~~~~~~~~~~</v>
      </c>
      <c r="X20" t="str">
        <f t="shared" si="2"/>
        <v>~~~~~~~~~~</v>
      </c>
      <c r="Y20" t="str">
        <f t="shared" si="2"/>
        <v>~~~~~~~~~~</v>
      </c>
      <c r="Z20" t="str">
        <f t="shared" si="2"/>
        <v>~~~~~~~~~~</v>
      </c>
      <c r="AA20" t="str">
        <f t="shared" si="2"/>
        <v>~~~~~~~~~~</v>
      </c>
      <c r="AB20" t="str">
        <f t="shared" si="2"/>
        <v>~~~~~~~~~~</v>
      </c>
      <c r="AC20" t="str">
        <f t="shared" si="2"/>
        <v>~~~~~~~~~~</v>
      </c>
      <c r="AD20" t="str">
        <f t="shared" si="2"/>
        <v>~~~~~~~~~~</v>
      </c>
      <c r="AE20" t="str">
        <f t="shared" si="2"/>
        <v>~~~~~~~~~~</v>
      </c>
      <c r="AF20" t="str">
        <f t="shared" si="2"/>
        <v>~~~~~~~~~~</v>
      </c>
      <c r="AG20" t="str">
        <f t="shared" ref="AG20:BM20" si="3">"~~~~~~~~~~"</f>
        <v>~~~~~~~~~~</v>
      </c>
      <c r="AH20" t="str">
        <f t="shared" si="3"/>
        <v>~~~~~~~~~~</v>
      </c>
      <c r="AI20" t="str">
        <f t="shared" si="3"/>
        <v>~~~~~~~~~~</v>
      </c>
      <c r="AJ20" t="str">
        <f t="shared" si="3"/>
        <v>~~~~~~~~~~</v>
      </c>
      <c r="AK20" t="str">
        <f t="shared" si="3"/>
        <v>~~~~~~~~~~</v>
      </c>
      <c r="AL20" t="str">
        <f t="shared" si="3"/>
        <v>~~~~~~~~~~</v>
      </c>
      <c r="AM20" t="str">
        <f t="shared" si="3"/>
        <v>~~~~~~~~~~</v>
      </c>
      <c r="AN20" t="str">
        <f t="shared" si="3"/>
        <v>~~~~~~~~~~</v>
      </c>
      <c r="AO20" t="str">
        <f t="shared" si="3"/>
        <v>~~~~~~~~~~</v>
      </c>
      <c r="AP20" t="str">
        <f t="shared" si="3"/>
        <v>~~~~~~~~~~</v>
      </c>
      <c r="AQ20" t="str">
        <f t="shared" si="3"/>
        <v>~~~~~~~~~~</v>
      </c>
      <c r="AR20" t="str">
        <f t="shared" si="3"/>
        <v>~~~~~~~~~~</v>
      </c>
      <c r="AS20" t="str">
        <f t="shared" si="3"/>
        <v>~~~~~~~~~~</v>
      </c>
      <c r="AT20" t="str">
        <f t="shared" si="3"/>
        <v>~~~~~~~~~~</v>
      </c>
      <c r="AU20" t="str">
        <f t="shared" si="3"/>
        <v>~~~~~~~~~~</v>
      </c>
      <c r="AV20" t="str">
        <f t="shared" si="3"/>
        <v>~~~~~~~~~~</v>
      </c>
      <c r="AW20" t="str">
        <f t="shared" si="3"/>
        <v>~~~~~~~~~~</v>
      </c>
      <c r="AX20" t="str">
        <f t="shared" si="3"/>
        <v>~~~~~~~~~~</v>
      </c>
      <c r="AY20" t="str">
        <f t="shared" si="3"/>
        <v>~~~~~~~~~~</v>
      </c>
      <c r="AZ20" t="str">
        <f t="shared" si="3"/>
        <v>~~~~~~~~~~</v>
      </c>
      <c r="BA20" t="str">
        <f t="shared" si="3"/>
        <v>~~~~~~~~~~</v>
      </c>
      <c r="BB20" t="str">
        <f t="shared" si="3"/>
        <v>~~~~~~~~~~</v>
      </c>
      <c r="BC20" t="str">
        <f t="shared" si="3"/>
        <v>~~~~~~~~~~</v>
      </c>
      <c r="BD20" t="str">
        <f t="shared" si="3"/>
        <v>~~~~~~~~~~</v>
      </c>
      <c r="BE20" t="str">
        <f t="shared" si="3"/>
        <v>~~~~~~~~~~</v>
      </c>
      <c r="BF20" t="str">
        <f t="shared" si="3"/>
        <v>~~~~~~~~~~</v>
      </c>
      <c r="BG20" t="str">
        <f t="shared" si="3"/>
        <v>~~~~~~~~~~</v>
      </c>
      <c r="BH20" t="str">
        <f t="shared" si="3"/>
        <v>~~~~~~~~~~</v>
      </c>
      <c r="BI20" t="str">
        <f t="shared" si="3"/>
        <v>~~~~~~~~~~</v>
      </c>
      <c r="BJ20" t="str">
        <f t="shared" si="3"/>
        <v>~~~~~~~~~~</v>
      </c>
      <c r="BK20" t="str">
        <f t="shared" si="3"/>
        <v>~~~~~~~~~~</v>
      </c>
      <c r="BL20" t="str">
        <f t="shared" si="3"/>
        <v>~~~~~~~~~~</v>
      </c>
      <c r="BM20" t="str">
        <f t="shared" si="3"/>
        <v>~~~~~~~~~~</v>
      </c>
      <c r="BN20" t="str">
        <f>""</f>
        <v/>
      </c>
      <c r="BO20" t="str">
        <f>""</f>
        <v/>
      </c>
      <c r="BP20" t="str">
        <f>""</f>
        <v/>
      </c>
      <c r="BQ20" t="str">
        <f>""</f>
        <v/>
      </c>
      <c r="BR20" t="str">
        <f>""</f>
        <v/>
      </c>
      <c r="BS20" t="str">
        <f>""</f>
        <v/>
      </c>
      <c r="BT20" t="str">
        <f>""</f>
        <v/>
      </c>
      <c r="BU20" t="str">
        <f>""</f>
        <v/>
      </c>
      <c r="BV20" t="str">
        <f>""</f>
        <v/>
      </c>
      <c r="BW20" t="str">
        <f>""</f>
        <v/>
      </c>
      <c r="BX20" t="str">
        <f>""</f>
        <v/>
      </c>
      <c r="BY20" t="str">
        <f>""</f>
        <v/>
      </c>
      <c r="BZ20" t="str">
        <f>""</f>
        <v/>
      </c>
      <c r="CA20" t="str">
        <f>""</f>
        <v/>
      </c>
      <c r="CB20" t="str">
        <f>""</f>
        <v/>
      </c>
      <c r="CC20" t="str">
        <f>""</f>
        <v/>
      </c>
      <c r="CD20" t="str">
        <f>""</f>
        <v/>
      </c>
      <c r="CE20" t="str">
        <f>""</f>
        <v/>
      </c>
      <c r="CF20" t="str">
        <f>""</f>
        <v/>
      </c>
      <c r="CG20" t="str">
        <f>""</f>
        <v/>
      </c>
      <c r="CH20" t="str">
        <f>""</f>
        <v/>
      </c>
      <c r="CI20" t="str">
        <f>""</f>
        <v/>
      </c>
      <c r="CJ20" t="str">
        <f>""</f>
        <v/>
      </c>
      <c r="CK20" t="str">
        <f>""</f>
        <v/>
      </c>
      <c r="CL20" t="str">
        <f>""</f>
        <v/>
      </c>
      <c r="CM20" t="str">
        <f>""</f>
        <v/>
      </c>
      <c r="CN20" t="str">
        <f>""</f>
        <v/>
      </c>
      <c r="CO20" t="str">
        <f>""</f>
        <v/>
      </c>
      <c r="CP20" t="str">
        <f>""</f>
        <v/>
      </c>
      <c r="CQ20" t="str">
        <f>""</f>
        <v/>
      </c>
      <c r="CR20" t="str">
        <f>""</f>
        <v/>
      </c>
      <c r="CS20" t="str">
        <f>""</f>
        <v/>
      </c>
      <c r="CT20" t="str">
        <f>""</f>
        <v/>
      </c>
      <c r="CU20" t="str">
        <f>""</f>
        <v/>
      </c>
      <c r="CV20" t="str">
        <f>""</f>
        <v/>
      </c>
      <c r="CW20" t="str">
        <f>""</f>
        <v/>
      </c>
      <c r="CX20" t="str">
        <f>""</f>
        <v/>
      </c>
      <c r="CY20" t="str">
        <f>""</f>
        <v/>
      </c>
      <c r="CZ20" t="str">
        <f>""</f>
        <v/>
      </c>
      <c r="DA20" t="str">
        <f>""</f>
        <v/>
      </c>
      <c r="DB20" t="str">
        <f>""</f>
        <v/>
      </c>
      <c r="DC20" t="str">
        <f>""</f>
        <v/>
      </c>
      <c r="DD20" t="str">
        <f>""</f>
        <v/>
      </c>
      <c r="DE20" t="str">
        <f>""</f>
        <v/>
      </c>
      <c r="DF20" t="str">
        <f>""</f>
        <v/>
      </c>
      <c r="DG20" t="str">
        <f>""</f>
        <v/>
      </c>
      <c r="DH20" t="str">
        <f>""</f>
        <v/>
      </c>
      <c r="DI20" t="str">
        <f>""</f>
        <v/>
      </c>
      <c r="DJ20" t="str">
        <f>""</f>
        <v/>
      </c>
      <c r="DK20" t="str">
        <f>""</f>
        <v/>
      </c>
      <c r="DL20" t="str">
        <f>""</f>
        <v/>
      </c>
      <c r="DM20" t="str">
        <f>""</f>
        <v/>
      </c>
      <c r="DN20" t="str">
        <f>""</f>
        <v/>
      </c>
      <c r="DO20" t="str">
        <f>""</f>
        <v/>
      </c>
      <c r="DP20" t="str">
        <f>""</f>
        <v/>
      </c>
      <c r="DQ20" t="str">
        <f>""</f>
        <v/>
      </c>
      <c r="DR20" t="str">
        <f>""</f>
        <v/>
      </c>
      <c r="DS20" t="str">
        <f>""</f>
        <v/>
      </c>
      <c r="DT20" t="str">
        <f>""</f>
        <v/>
      </c>
      <c r="DU20" t="str">
        <f>""</f>
        <v/>
      </c>
    </row>
    <row r="21" spans="1:125">
      <c r="A21" t="str">
        <f>"通过上面公式行而添加下列所有数据行以供参考之用。"</f>
        <v>通过上面公式行而添加下列所有数据行以供参考之用。</v>
      </c>
      <c r="BN21" t="str">
        <f>""</f>
        <v/>
      </c>
      <c r="BO21" t="str">
        <f>""</f>
        <v/>
      </c>
      <c r="BP21" t="str">
        <f>""</f>
        <v/>
      </c>
      <c r="BQ21" t="str">
        <f>""</f>
        <v/>
      </c>
      <c r="BR21" t="str">
        <f>""</f>
        <v/>
      </c>
      <c r="BS21" t="str">
        <f>""</f>
        <v/>
      </c>
      <c r="BT21" t="str">
        <f>""</f>
        <v/>
      </c>
      <c r="BU21" t="str">
        <f>""</f>
        <v/>
      </c>
      <c r="BV21" t="str">
        <f>""</f>
        <v/>
      </c>
      <c r="BW21" t="str">
        <f>""</f>
        <v/>
      </c>
      <c r="BX21" t="str">
        <f>""</f>
        <v/>
      </c>
      <c r="BY21" t="str">
        <f>""</f>
        <v/>
      </c>
      <c r="BZ21" t="str">
        <f>""</f>
        <v/>
      </c>
      <c r="CA21" t="str">
        <f>""</f>
        <v/>
      </c>
      <c r="CB21" t="str">
        <f>""</f>
        <v/>
      </c>
      <c r="CC21" t="str">
        <f>""</f>
        <v/>
      </c>
      <c r="CD21" t="str">
        <f>""</f>
        <v/>
      </c>
      <c r="CE21" t="str">
        <f>""</f>
        <v/>
      </c>
      <c r="CF21" t="str">
        <f>""</f>
        <v/>
      </c>
      <c r="CG21" t="str">
        <f>""</f>
        <v/>
      </c>
      <c r="CH21" t="str">
        <f>""</f>
        <v/>
      </c>
      <c r="CI21" t="str">
        <f>""</f>
        <v/>
      </c>
      <c r="CJ21" t="str">
        <f>""</f>
        <v/>
      </c>
      <c r="CK21" t="str">
        <f>""</f>
        <v/>
      </c>
      <c r="CL21" t="str">
        <f>""</f>
        <v/>
      </c>
      <c r="CM21" t="str">
        <f>""</f>
        <v/>
      </c>
      <c r="CN21" t="str">
        <f>""</f>
        <v/>
      </c>
      <c r="CO21" t="str">
        <f>""</f>
        <v/>
      </c>
      <c r="CP21" t="str">
        <f>""</f>
        <v/>
      </c>
      <c r="CQ21" t="str">
        <f>""</f>
        <v/>
      </c>
      <c r="CR21" t="str">
        <f>""</f>
        <v/>
      </c>
      <c r="CS21" t="str">
        <f>""</f>
        <v/>
      </c>
      <c r="CT21" t="str">
        <f>""</f>
        <v/>
      </c>
      <c r="CU21" t="str">
        <f>""</f>
        <v/>
      </c>
      <c r="CV21" t="str">
        <f>""</f>
        <v/>
      </c>
      <c r="CW21" t="str">
        <f>""</f>
        <v/>
      </c>
      <c r="CX21" t="str">
        <f>""</f>
        <v/>
      </c>
      <c r="CY21" t="str">
        <f>""</f>
        <v/>
      </c>
      <c r="CZ21" t="str">
        <f>""</f>
        <v/>
      </c>
      <c r="DA21" t="str">
        <f>""</f>
        <v/>
      </c>
      <c r="DB21" t="str">
        <f>""</f>
        <v/>
      </c>
      <c r="DC21" t="str">
        <f>""</f>
        <v/>
      </c>
      <c r="DD21" t="str">
        <f>""</f>
        <v/>
      </c>
      <c r="DE21" t="str">
        <f>""</f>
        <v/>
      </c>
      <c r="DF21" t="str">
        <f>""</f>
        <v/>
      </c>
      <c r="DG21" t="str">
        <f>""</f>
        <v/>
      </c>
      <c r="DH21" t="str">
        <f>""</f>
        <v/>
      </c>
      <c r="DI21" t="str">
        <f>""</f>
        <v/>
      </c>
      <c r="DJ21" t="str">
        <f>""</f>
        <v/>
      </c>
      <c r="DK21" t="str">
        <f>""</f>
        <v/>
      </c>
      <c r="DL21" t="str">
        <f>""</f>
        <v/>
      </c>
      <c r="DM21" t="str">
        <f>""</f>
        <v/>
      </c>
      <c r="DN21" t="str">
        <f>""</f>
        <v/>
      </c>
      <c r="DO21" t="str">
        <f>""</f>
        <v/>
      </c>
      <c r="DP21" t="str">
        <f>""</f>
        <v/>
      </c>
      <c r="DQ21" t="str">
        <f>""</f>
        <v/>
      </c>
      <c r="DR21" t="str">
        <f>""</f>
        <v/>
      </c>
      <c r="DS21" t="str">
        <f>""</f>
        <v/>
      </c>
      <c r="DT21" t="str">
        <f>""</f>
        <v/>
      </c>
      <c r="DU21" t="str">
        <f>""</f>
        <v/>
      </c>
    </row>
    <row r="22" spans="1:125">
      <c r="A22">
        <f>RTD("bloomberg.ccyreader", "", "#track", "DBG", "BIHITX", "1.0","RepeatHit")</f>
        <v>0</v>
      </c>
      <c r="BN22" t="str">
        <f>""</f>
        <v/>
      </c>
      <c r="BO22" t="str">
        <f>""</f>
        <v/>
      </c>
      <c r="BP22" t="str">
        <f>""</f>
        <v/>
      </c>
      <c r="BQ22" t="str">
        <f>""</f>
        <v/>
      </c>
      <c r="BR22" t="str">
        <f>""</f>
        <v/>
      </c>
      <c r="BS22" t="str">
        <f>""</f>
        <v/>
      </c>
      <c r="BT22" t="str">
        <f>""</f>
        <v/>
      </c>
      <c r="BU22" t="str">
        <f>""</f>
        <v/>
      </c>
      <c r="BV22" t="str">
        <f>""</f>
        <v/>
      </c>
      <c r="BW22" t="str">
        <f>""</f>
        <v/>
      </c>
      <c r="BX22" t="str">
        <f>""</f>
        <v/>
      </c>
      <c r="BY22" t="str">
        <f>""</f>
        <v/>
      </c>
      <c r="BZ22" t="str">
        <f>""</f>
        <v/>
      </c>
      <c r="CA22" t="str">
        <f>""</f>
        <v/>
      </c>
      <c r="CB22" t="str">
        <f>""</f>
        <v/>
      </c>
      <c r="CC22" t="str">
        <f>""</f>
        <v/>
      </c>
      <c r="CD22" t="str">
        <f>""</f>
        <v/>
      </c>
      <c r="CE22" t="str">
        <f>""</f>
        <v/>
      </c>
      <c r="CF22" t="str">
        <f>""</f>
        <v/>
      </c>
      <c r="CG22" t="str">
        <f>""</f>
        <v/>
      </c>
      <c r="CH22" t="str">
        <f>""</f>
        <v/>
      </c>
      <c r="CI22" t="str">
        <f>""</f>
        <v/>
      </c>
      <c r="CJ22" t="str">
        <f>""</f>
        <v/>
      </c>
      <c r="CK22" t="str">
        <f>""</f>
        <v/>
      </c>
      <c r="CL22" t="str">
        <f>""</f>
        <v/>
      </c>
      <c r="CM22" t="str">
        <f>""</f>
        <v/>
      </c>
      <c r="CN22" t="str">
        <f>""</f>
        <v/>
      </c>
      <c r="CO22" t="str">
        <f>""</f>
        <v/>
      </c>
      <c r="CP22" t="str">
        <f>""</f>
        <v/>
      </c>
      <c r="CQ22" t="str">
        <f>""</f>
        <v/>
      </c>
      <c r="CR22" t="str">
        <f>""</f>
        <v/>
      </c>
      <c r="CS22" t="str">
        <f>""</f>
        <v/>
      </c>
      <c r="CT22" t="str">
        <f>""</f>
        <v/>
      </c>
      <c r="CU22" t="str">
        <f>""</f>
        <v/>
      </c>
      <c r="CV22" t="str">
        <f>""</f>
        <v/>
      </c>
      <c r="CW22" t="str">
        <f>""</f>
        <v/>
      </c>
      <c r="CX22" t="str">
        <f>""</f>
        <v/>
      </c>
      <c r="CY22" t="str">
        <f>""</f>
        <v/>
      </c>
      <c r="CZ22" t="str">
        <f>""</f>
        <v/>
      </c>
      <c r="DA22" t="str">
        <f>""</f>
        <v/>
      </c>
      <c r="DB22" t="str">
        <f>""</f>
        <v/>
      </c>
      <c r="DC22" t="str">
        <f>""</f>
        <v/>
      </c>
      <c r="DD22" t="str">
        <f>""</f>
        <v/>
      </c>
      <c r="DE22" t="str">
        <f>""</f>
        <v/>
      </c>
      <c r="DF22" t="str">
        <f>""</f>
        <v/>
      </c>
      <c r="DG22" t="str">
        <f>""</f>
        <v/>
      </c>
      <c r="DH22" t="str">
        <f>""</f>
        <v/>
      </c>
      <c r="DI22" t="str">
        <f>""</f>
        <v/>
      </c>
      <c r="DJ22" t="str">
        <f>""</f>
        <v/>
      </c>
      <c r="DK22" t="str">
        <f>""</f>
        <v/>
      </c>
      <c r="DL22" t="str">
        <f>""</f>
        <v/>
      </c>
      <c r="DM22" t="str">
        <f>""</f>
        <v/>
      </c>
      <c r="DN22" t="str">
        <f>""</f>
        <v/>
      </c>
      <c r="DO22" t="str">
        <f>""</f>
        <v/>
      </c>
      <c r="DP22" t="str">
        <f>""</f>
        <v/>
      </c>
      <c r="DQ22" t="str">
        <f>""</f>
        <v/>
      </c>
      <c r="DR22" t="str">
        <f>""</f>
        <v/>
      </c>
      <c r="DS22" t="str">
        <f>""</f>
        <v/>
      </c>
      <c r="DT22" t="str">
        <f>""</f>
        <v/>
      </c>
      <c r="DU22" t="str">
        <f>""</f>
        <v/>
      </c>
    </row>
    <row r="23" spans="1:125">
      <c r="A23" t="str">
        <f>"货币"</f>
        <v>货币</v>
      </c>
      <c r="B23" t="str">
        <f>"USD"</f>
        <v>USD</v>
      </c>
      <c r="BN23" t="str">
        <f>""</f>
        <v/>
      </c>
      <c r="BO23" t="str">
        <f>""</f>
        <v/>
      </c>
      <c r="BP23" t="str">
        <f>""</f>
        <v/>
      </c>
      <c r="BQ23" t="str">
        <f>""</f>
        <v/>
      </c>
      <c r="BR23" t="str">
        <f>""</f>
        <v/>
      </c>
      <c r="BS23" t="str">
        <f>""</f>
        <v/>
      </c>
      <c r="BT23" t="str">
        <f>""</f>
        <v/>
      </c>
      <c r="BU23" t="str">
        <f>""</f>
        <v/>
      </c>
      <c r="BV23" t="str">
        <f>""</f>
        <v/>
      </c>
      <c r="BW23" t="str">
        <f>""</f>
        <v/>
      </c>
      <c r="BX23" t="str">
        <f>""</f>
        <v/>
      </c>
      <c r="BY23" t="str">
        <f>""</f>
        <v/>
      </c>
      <c r="BZ23" t="str">
        <f>""</f>
        <v/>
      </c>
      <c r="CA23" t="str">
        <f>""</f>
        <v/>
      </c>
      <c r="CB23" t="str">
        <f>""</f>
        <v/>
      </c>
      <c r="CC23" t="str">
        <f>""</f>
        <v/>
      </c>
      <c r="CD23" t="str">
        <f>""</f>
        <v/>
      </c>
      <c r="CE23" t="str">
        <f>""</f>
        <v/>
      </c>
      <c r="CF23" t="str">
        <f>""</f>
        <v/>
      </c>
      <c r="CG23" t="str">
        <f>""</f>
        <v/>
      </c>
      <c r="CH23" t="str">
        <f>""</f>
        <v/>
      </c>
      <c r="CI23" t="str">
        <f>""</f>
        <v/>
      </c>
      <c r="CJ23" t="str">
        <f>""</f>
        <v/>
      </c>
      <c r="CK23" t="str">
        <f>""</f>
        <v/>
      </c>
      <c r="CL23" t="str">
        <f>""</f>
        <v/>
      </c>
      <c r="CM23" t="str">
        <f>""</f>
        <v/>
      </c>
      <c r="CN23" t="str">
        <f>""</f>
        <v/>
      </c>
      <c r="CO23" t="str">
        <f>""</f>
        <v/>
      </c>
      <c r="CP23" t="str">
        <f>""</f>
        <v/>
      </c>
      <c r="CQ23" t="str">
        <f>""</f>
        <v/>
      </c>
      <c r="CR23" t="str">
        <f>""</f>
        <v/>
      </c>
      <c r="CS23" t="str">
        <f>""</f>
        <v/>
      </c>
      <c r="CT23" t="str">
        <f>""</f>
        <v/>
      </c>
      <c r="CU23" t="str">
        <f>""</f>
        <v/>
      </c>
      <c r="CV23" t="str">
        <f>""</f>
        <v/>
      </c>
      <c r="CW23" t="str">
        <f>""</f>
        <v/>
      </c>
      <c r="CX23" t="str">
        <f>""</f>
        <v/>
      </c>
      <c r="CY23" t="str">
        <f>""</f>
        <v/>
      </c>
      <c r="CZ23" t="str">
        <f>""</f>
        <v/>
      </c>
      <c r="DA23" t="str">
        <f>""</f>
        <v/>
      </c>
      <c r="DB23" t="str">
        <f>""</f>
        <v/>
      </c>
      <c r="DC23" t="str">
        <f>""</f>
        <v/>
      </c>
      <c r="DD23" t="str">
        <f>""</f>
        <v/>
      </c>
      <c r="DE23" t="str">
        <f>""</f>
        <v/>
      </c>
      <c r="DF23" t="str">
        <f>""</f>
        <v/>
      </c>
      <c r="DG23" t="str">
        <f>""</f>
        <v/>
      </c>
      <c r="DH23" t="str">
        <f>""</f>
        <v/>
      </c>
      <c r="DI23" t="str">
        <f>""</f>
        <v/>
      </c>
      <c r="DJ23" t="str">
        <f>""</f>
        <v/>
      </c>
      <c r="DK23" t="str">
        <f>""</f>
        <v/>
      </c>
      <c r="DL23" t="str">
        <f>""</f>
        <v/>
      </c>
      <c r="DM23" t="str">
        <f>""</f>
        <v/>
      </c>
      <c r="DN23" t="str">
        <f>""</f>
        <v/>
      </c>
      <c r="DO23" t="str">
        <f>""</f>
        <v/>
      </c>
      <c r="DP23" t="str">
        <f>""</f>
        <v/>
      </c>
      <c r="DQ23" t="str">
        <f>""</f>
        <v/>
      </c>
      <c r="DR23" t="str">
        <f>""</f>
        <v/>
      </c>
      <c r="DS23" t="str">
        <f>""</f>
        <v/>
      </c>
      <c r="DT23" t="str">
        <f>""</f>
        <v/>
      </c>
      <c r="DU23" t="str">
        <f>""</f>
        <v/>
      </c>
    </row>
    <row r="24" spans="1:125">
      <c r="A24" t="str">
        <f>"周期"</f>
        <v>周期</v>
      </c>
      <c r="B24" t="str">
        <f>"CQ"</f>
        <v>CQ</v>
      </c>
      <c r="C24" t="str">
        <f>"AQ"</f>
        <v>AQ</v>
      </c>
      <c r="BN24" t="str">
        <f>""</f>
        <v/>
      </c>
      <c r="BO24" t="str">
        <f>""</f>
        <v/>
      </c>
      <c r="BP24" t="str">
        <f>""</f>
        <v/>
      </c>
      <c r="BQ24" t="str">
        <f>""</f>
        <v/>
      </c>
      <c r="BR24" t="str">
        <f>""</f>
        <v/>
      </c>
      <c r="BS24" t="str">
        <f>""</f>
        <v/>
      </c>
      <c r="BT24" t="str">
        <f>""</f>
        <v/>
      </c>
      <c r="BU24" t="str">
        <f>""</f>
        <v/>
      </c>
      <c r="BV24" t="str">
        <f>""</f>
        <v/>
      </c>
      <c r="BW24" t="str">
        <f>""</f>
        <v/>
      </c>
      <c r="BX24" t="str">
        <f>""</f>
        <v/>
      </c>
      <c r="BY24" t="str">
        <f>""</f>
        <v/>
      </c>
      <c r="BZ24" t="str">
        <f>""</f>
        <v/>
      </c>
      <c r="CA24" t="str">
        <f>""</f>
        <v/>
      </c>
      <c r="CB24" t="str">
        <f>""</f>
        <v/>
      </c>
      <c r="CC24" t="str">
        <f>""</f>
        <v/>
      </c>
      <c r="CD24" t="str">
        <f>""</f>
        <v/>
      </c>
      <c r="CE24" t="str">
        <f>""</f>
        <v/>
      </c>
      <c r="CF24" t="str">
        <f>""</f>
        <v/>
      </c>
      <c r="CG24" t="str">
        <f>""</f>
        <v/>
      </c>
      <c r="CH24" t="str">
        <f>""</f>
        <v/>
      </c>
      <c r="CI24" t="str">
        <f>""</f>
        <v/>
      </c>
      <c r="CJ24" t="str">
        <f>""</f>
        <v/>
      </c>
      <c r="CK24" t="str">
        <f>""</f>
        <v/>
      </c>
      <c r="CL24" t="str">
        <f>""</f>
        <v/>
      </c>
      <c r="CM24" t="str">
        <f>""</f>
        <v/>
      </c>
      <c r="CN24" t="str">
        <f>""</f>
        <v/>
      </c>
      <c r="CO24" t="str">
        <f>""</f>
        <v/>
      </c>
      <c r="CP24" t="str">
        <f>""</f>
        <v/>
      </c>
      <c r="CQ24" t="str">
        <f>""</f>
        <v/>
      </c>
      <c r="CR24" t="str">
        <f>""</f>
        <v/>
      </c>
      <c r="CS24" t="str">
        <f>""</f>
        <v/>
      </c>
      <c r="CT24" t="str">
        <f>""</f>
        <v/>
      </c>
      <c r="CU24" t="str">
        <f>""</f>
        <v/>
      </c>
      <c r="CV24" t="str">
        <f>""</f>
        <v/>
      </c>
      <c r="CW24" t="str">
        <f>""</f>
        <v/>
      </c>
      <c r="CX24" t="str">
        <f>""</f>
        <v/>
      </c>
      <c r="CY24" t="str">
        <f>""</f>
        <v/>
      </c>
      <c r="CZ24" t="str">
        <f>""</f>
        <v/>
      </c>
      <c r="DA24" t="str">
        <f>""</f>
        <v/>
      </c>
      <c r="DB24" t="str">
        <f>""</f>
        <v/>
      </c>
      <c r="DC24" t="str">
        <f>""</f>
        <v/>
      </c>
      <c r="DD24" t="str">
        <f>""</f>
        <v/>
      </c>
      <c r="DE24" t="str">
        <f>""</f>
        <v/>
      </c>
      <c r="DF24" t="str">
        <f>""</f>
        <v/>
      </c>
      <c r="DG24" t="str">
        <f>""</f>
        <v/>
      </c>
      <c r="DH24" t="str">
        <f>""</f>
        <v/>
      </c>
      <c r="DI24" t="str">
        <f>""</f>
        <v/>
      </c>
      <c r="DJ24" t="str">
        <f>""</f>
        <v/>
      </c>
      <c r="DK24" t="str">
        <f>""</f>
        <v/>
      </c>
      <c r="DL24" t="str">
        <f>""</f>
        <v/>
      </c>
      <c r="DM24" t="str">
        <f>""</f>
        <v/>
      </c>
      <c r="DN24" t="str">
        <f>""</f>
        <v/>
      </c>
      <c r="DO24" t="str">
        <f>""</f>
        <v/>
      </c>
      <c r="DP24" t="str">
        <f>""</f>
        <v/>
      </c>
      <c r="DQ24" t="str">
        <f>""</f>
        <v/>
      </c>
      <c r="DR24" t="str">
        <f>""</f>
        <v/>
      </c>
      <c r="DS24" t="str">
        <f>""</f>
        <v/>
      </c>
      <c r="DT24" t="str">
        <f>""</f>
        <v/>
      </c>
      <c r="DU24" t="str">
        <f>""</f>
        <v/>
      </c>
    </row>
    <row r="25" spans="1:125">
      <c r="A25" t="str">
        <f>"周期数"</f>
        <v>周期数</v>
      </c>
      <c r="B25">
        <f>60</f>
        <v>60</v>
      </c>
      <c r="BN25" t="str">
        <f>""</f>
        <v/>
      </c>
      <c r="BO25" t="str">
        <f>""</f>
        <v/>
      </c>
      <c r="BP25" t="str">
        <f>""</f>
        <v/>
      </c>
      <c r="BQ25" t="str">
        <f>""</f>
        <v/>
      </c>
      <c r="BR25" t="str">
        <f>""</f>
        <v/>
      </c>
      <c r="BS25" t="str">
        <f>""</f>
        <v/>
      </c>
      <c r="BT25" t="str">
        <f>""</f>
        <v/>
      </c>
      <c r="BU25" t="str">
        <f>""</f>
        <v/>
      </c>
      <c r="BV25" t="str">
        <f>""</f>
        <v/>
      </c>
      <c r="BW25" t="str">
        <f>""</f>
        <v/>
      </c>
      <c r="BX25" t="str">
        <f>""</f>
        <v/>
      </c>
      <c r="BY25" t="str">
        <f>""</f>
        <v/>
      </c>
      <c r="BZ25" t="str">
        <f>""</f>
        <v/>
      </c>
      <c r="CA25" t="str">
        <f>""</f>
        <v/>
      </c>
      <c r="CB25" t="str">
        <f>""</f>
        <v/>
      </c>
      <c r="CC25" t="str">
        <f>""</f>
        <v/>
      </c>
      <c r="CD25" t="str">
        <f>""</f>
        <v/>
      </c>
      <c r="CE25" t="str">
        <f>""</f>
        <v/>
      </c>
      <c r="CF25" t="str">
        <f>""</f>
        <v/>
      </c>
      <c r="CG25" t="str">
        <f>""</f>
        <v/>
      </c>
      <c r="CH25" t="str">
        <f>""</f>
        <v/>
      </c>
      <c r="CI25" t="str">
        <f>""</f>
        <v/>
      </c>
      <c r="CJ25" t="str">
        <f>""</f>
        <v/>
      </c>
      <c r="CK25" t="str">
        <f>""</f>
        <v/>
      </c>
      <c r="CL25" t="str">
        <f>""</f>
        <v/>
      </c>
      <c r="CM25" t="str">
        <f>""</f>
        <v/>
      </c>
      <c r="CN25" t="str">
        <f>""</f>
        <v/>
      </c>
      <c r="CO25" t="str">
        <f>""</f>
        <v/>
      </c>
      <c r="CP25" t="str">
        <f>""</f>
        <v/>
      </c>
      <c r="CQ25" t="str">
        <f>""</f>
        <v/>
      </c>
      <c r="CR25" t="str">
        <f>""</f>
        <v/>
      </c>
      <c r="CS25" t="str">
        <f>""</f>
        <v/>
      </c>
      <c r="CT25" t="str">
        <f>""</f>
        <v/>
      </c>
      <c r="CU25" t="str">
        <f>""</f>
        <v/>
      </c>
      <c r="CV25" t="str">
        <f>""</f>
        <v/>
      </c>
      <c r="CW25" t="str">
        <f>""</f>
        <v/>
      </c>
      <c r="CX25" t="str">
        <f>""</f>
        <v/>
      </c>
      <c r="CY25" t="str">
        <f>""</f>
        <v/>
      </c>
      <c r="CZ25" t="str">
        <f>""</f>
        <v/>
      </c>
      <c r="DA25" t="str">
        <f>""</f>
        <v/>
      </c>
      <c r="DB25" t="str">
        <f>""</f>
        <v/>
      </c>
      <c r="DC25" t="str">
        <f>""</f>
        <v/>
      </c>
      <c r="DD25" t="str">
        <f>""</f>
        <v/>
      </c>
      <c r="DE25" t="str">
        <f>""</f>
        <v/>
      </c>
      <c r="DF25" t="str">
        <f>""</f>
        <v/>
      </c>
      <c r="DG25" t="str">
        <f>""</f>
        <v/>
      </c>
      <c r="DH25" t="str">
        <f>""</f>
        <v/>
      </c>
      <c r="DI25" t="str">
        <f>""</f>
        <v/>
      </c>
      <c r="DJ25" t="str">
        <f>""</f>
        <v/>
      </c>
      <c r="DK25" t="str">
        <f>""</f>
        <v/>
      </c>
      <c r="DL25" t="str">
        <f>""</f>
        <v/>
      </c>
      <c r="DM25" t="str">
        <f>""</f>
        <v/>
      </c>
      <c r="DN25" t="str">
        <f>""</f>
        <v/>
      </c>
      <c r="DO25" t="str">
        <f>""</f>
        <v/>
      </c>
      <c r="DP25" t="str">
        <f>""</f>
        <v/>
      </c>
      <c r="DQ25" t="str">
        <f>""</f>
        <v/>
      </c>
      <c r="DR25" t="str">
        <f>""</f>
        <v/>
      </c>
      <c r="DS25" t="str">
        <f>""</f>
        <v/>
      </c>
      <c r="DT25" t="str">
        <f>""</f>
        <v/>
      </c>
      <c r="DU25" t="str">
        <f>""</f>
        <v/>
      </c>
    </row>
    <row r="26" spans="1:125">
      <c r="A26" t="str">
        <f>"起始日期"</f>
        <v>起始日期</v>
      </c>
      <c r="B26" t="str">
        <f>CONCATENATE("-",$B$25,$B$24)</f>
        <v>-60CQ</v>
      </c>
      <c r="C26" t="str">
        <f>CONCATENATE("-",$B$25,$C$24)</f>
        <v>-60AQ</v>
      </c>
      <c r="BN26" t="str">
        <f>""</f>
        <v/>
      </c>
      <c r="BO26" t="str">
        <f>""</f>
        <v/>
      </c>
      <c r="BP26" t="str">
        <f>""</f>
        <v/>
      </c>
      <c r="BQ26" t="str">
        <f>""</f>
        <v/>
      </c>
      <c r="BR26" t="str">
        <f>""</f>
        <v/>
      </c>
      <c r="BS26" t="str">
        <f>""</f>
        <v/>
      </c>
      <c r="BT26" t="str">
        <f>""</f>
        <v/>
      </c>
      <c r="BU26" t="str">
        <f>""</f>
        <v/>
      </c>
      <c r="BV26" t="str">
        <f>""</f>
        <v/>
      </c>
      <c r="BW26" t="str">
        <f>""</f>
        <v/>
      </c>
      <c r="BX26" t="str">
        <f>""</f>
        <v/>
      </c>
      <c r="BY26" t="str">
        <f>""</f>
        <v/>
      </c>
      <c r="BZ26" t="str">
        <f>""</f>
        <v/>
      </c>
      <c r="CA26" t="str">
        <f>""</f>
        <v/>
      </c>
      <c r="CB26" t="str">
        <f>""</f>
        <v/>
      </c>
      <c r="CC26" t="str">
        <f>""</f>
        <v/>
      </c>
      <c r="CD26" t="str">
        <f>""</f>
        <v/>
      </c>
      <c r="CE26" t="str">
        <f>""</f>
        <v/>
      </c>
      <c r="CF26" t="str">
        <f>""</f>
        <v/>
      </c>
      <c r="CG26" t="str">
        <f>""</f>
        <v/>
      </c>
      <c r="CH26" t="str">
        <f>""</f>
        <v/>
      </c>
      <c r="CI26" t="str">
        <f>""</f>
        <v/>
      </c>
      <c r="CJ26" t="str">
        <f>""</f>
        <v/>
      </c>
      <c r="CK26" t="str">
        <f>""</f>
        <v/>
      </c>
      <c r="CL26" t="str">
        <f>""</f>
        <v/>
      </c>
      <c r="CM26" t="str">
        <f>""</f>
        <v/>
      </c>
      <c r="CN26" t="str">
        <f>""</f>
        <v/>
      </c>
      <c r="CO26" t="str">
        <f>""</f>
        <v/>
      </c>
      <c r="CP26" t="str">
        <f>""</f>
        <v/>
      </c>
      <c r="CQ26" t="str">
        <f>""</f>
        <v/>
      </c>
      <c r="CR26" t="str">
        <f>""</f>
        <v/>
      </c>
      <c r="CS26" t="str">
        <f>""</f>
        <v/>
      </c>
      <c r="CT26" t="str">
        <f>""</f>
        <v/>
      </c>
      <c r="CU26" t="str">
        <f>""</f>
        <v/>
      </c>
      <c r="CV26" t="str">
        <f>""</f>
        <v/>
      </c>
      <c r="CW26" t="str">
        <f>""</f>
        <v/>
      </c>
      <c r="CX26" t="str">
        <f>""</f>
        <v/>
      </c>
      <c r="CY26" t="str">
        <f>""</f>
        <v/>
      </c>
      <c r="CZ26" t="str">
        <f>""</f>
        <v/>
      </c>
      <c r="DA26" t="str">
        <f>""</f>
        <v/>
      </c>
      <c r="DB26" t="str">
        <f>""</f>
        <v/>
      </c>
      <c r="DC26" t="str">
        <f>""</f>
        <v/>
      </c>
      <c r="DD26" t="str">
        <f>""</f>
        <v/>
      </c>
      <c r="DE26" t="str">
        <f>""</f>
        <v/>
      </c>
      <c r="DF26" t="str">
        <f>""</f>
        <v/>
      </c>
      <c r="DG26" t="str">
        <f>""</f>
        <v/>
      </c>
      <c r="DH26" t="str">
        <f>""</f>
        <v/>
      </c>
      <c r="DI26" t="str">
        <f>""</f>
        <v/>
      </c>
      <c r="DJ26" t="str">
        <f>""</f>
        <v/>
      </c>
      <c r="DK26" t="str">
        <f>""</f>
        <v/>
      </c>
      <c r="DL26" t="str">
        <f>""</f>
        <v/>
      </c>
      <c r="DM26" t="str">
        <f>""</f>
        <v/>
      </c>
      <c r="DN26" t="str">
        <f>""</f>
        <v/>
      </c>
      <c r="DO26" t="str">
        <f>""</f>
        <v/>
      </c>
      <c r="DP26" t="str">
        <f>""</f>
        <v/>
      </c>
      <c r="DQ26" t="str">
        <f>""</f>
        <v/>
      </c>
      <c r="DR26" t="str">
        <f>""</f>
        <v/>
      </c>
      <c r="DS26" t="str">
        <f>""</f>
        <v/>
      </c>
      <c r="DT26" t="str">
        <f>""</f>
        <v/>
      </c>
      <c r="DU26" t="str">
        <f>""</f>
        <v/>
      </c>
    </row>
    <row r="27" spans="1:125">
      <c r="A27" t="str">
        <f>"End Date"</f>
        <v>End Date</v>
      </c>
      <c r="B27">
        <f ca="1">TODAY()</f>
        <v>43173</v>
      </c>
      <c r="BN27" t="str">
        <f>""</f>
        <v/>
      </c>
      <c r="BO27" t="str">
        <f>""</f>
        <v/>
      </c>
      <c r="BP27" t="str">
        <f>""</f>
        <v/>
      </c>
      <c r="BQ27" t="str">
        <f>""</f>
        <v/>
      </c>
      <c r="BR27" t="str">
        <f>""</f>
        <v/>
      </c>
      <c r="BS27" t="str">
        <f>""</f>
        <v/>
      </c>
      <c r="BT27" t="str">
        <f>""</f>
        <v/>
      </c>
      <c r="BU27" t="str">
        <f>""</f>
        <v/>
      </c>
      <c r="BV27" t="str">
        <f>""</f>
        <v/>
      </c>
      <c r="BW27" t="str">
        <f>""</f>
        <v/>
      </c>
      <c r="BX27" t="str">
        <f>""</f>
        <v/>
      </c>
      <c r="BY27" t="str">
        <f>""</f>
        <v/>
      </c>
      <c r="BZ27" t="str">
        <f>""</f>
        <v/>
      </c>
      <c r="CA27" t="str">
        <f>""</f>
        <v/>
      </c>
      <c r="CB27" t="str">
        <f>""</f>
        <v/>
      </c>
      <c r="CC27" t="str">
        <f>""</f>
        <v/>
      </c>
      <c r="CD27" t="str">
        <f>""</f>
        <v/>
      </c>
      <c r="CE27" t="str">
        <f>""</f>
        <v/>
      </c>
      <c r="CF27" t="str">
        <f>""</f>
        <v/>
      </c>
      <c r="CG27" t="str">
        <f>""</f>
        <v/>
      </c>
      <c r="CH27" t="str">
        <f>""</f>
        <v/>
      </c>
      <c r="CI27" t="str">
        <f>""</f>
        <v/>
      </c>
      <c r="CJ27" t="str">
        <f>""</f>
        <v/>
      </c>
      <c r="CK27" t="str">
        <f>""</f>
        <v/>
      </c>
      <c r="CL27" t="str">
        <f>""</f>
        <v/>
      </c>
      <c r="CM27" t="str">
        <f>""</f>
        <v/>
      </c>
      <c r="CN27" t="str">
        <f>""</f>
        <v/>
      </c>
      <c r="CO27" t="str">
        <f>""</f>
        <v/>
      </c>
      <c r="CP27" t="str">
        <f>""</f>
        <v/>
      </c>
      <c r="CQ27" t="str">
        <f>""</f>
        <v/>
      </c>
      <c r="CR27" t="str">
        <f>""</f>
        <v/>
      </c>
      <c r="CS27" t="str">
        <f>""</f>
        <v/>
      </c>
      <c r="CT27" t="str">
        <f>""</f>
        <v/>
      </c>
      <c r="CU27" t="str">
        <f>""</f>
        <v/>
      </c>
      <c r="CV27" t="str">
        <f>""</f>
        <v/>
      </c>
      <c r="CW27" t="str">
        <f>""</f>
        <v/>
      </c>
      <c r="CX27" t="str">
        <f>""</f>
        <v/>
      </c>
      <c r="CY27" t="str">
        <f>""</f>
        <v/>
      </c>
      <c r="CZ27" t="str">
        <f>""</f>
        <v/>
      </c>
      <c r="DA27" t="str">
        <f>""</f>
        <v/>
      </c>
      <c r="DB27" t="str">
        <f>""</f>
        <v/>
      </c>
      <c r="DC27" t="str">
        <f>""</f>
        <v/>
      </c>
      <c r="DD27" t="str">
        <f>""</f>
        <v/>
      </c>
      <c r="DE27" t="str">
        <f>""</f>
        <v/>
      </c>
      <c r="DF27" t="str">
        <f>""</f>
        <v/>
      </c>
      <c r="DG27" t="str">
        <f>""</f>
        <v/>
      </c>
      <c r="DH27" t="str">
        <f>""</f>
        <v/>
      </c>
      <c r="DI27" t="str">
        <f>""</f>
        <v/>
      </c>
      <c r="DJ27" t="str">
        <f>""</f>
        <v/>
      </c>
      <c r="DK27" t="str">
        <f>""</f>
        <v/>
      </c>
      <c r="DL27" t="str">
        <f>""</f>
        <v/>
      </c>
      <c r="DM27" t="str">
        <f>""</f>
        <v/>
      </c>
      <c r="DN27" t="str">
        <f>""</f>
        <v/>
      </c>
      <c r="DO27" t="str">
        <f>""</f>
        <v/>
      </c>
      <c r="DP27" t="str">
        <f>""</f>
        <v/>
      </c>
      <c r="DQ27" t="str">
        <f>""</f>
        <v/>
      </c>
      <c r="DR27" t="str">
        <f>""</f>
        <v/>
      </c>
      <c r="DS27" t="str">
        <f>""</f>
        <v/>
      </c>
      <c r="DT27" t="str">
        <f>""</f>
        <v/>
      </c>
      <c r="DU27" t="str">
        <f>""</f>
        <v/>
      </c>
    </row>
    <row r="28" spans="1:125">
      <c r="A28" t="str">
        <f>"HeaderStatus"</f>
        <v>HeaderStatus</v>
      </c>
      <c r="B28">
        <f ca="1">$B$58*$B$66</f>
        <v>4</v>
      </c>
      <c r="BN28" t="str">
        <f>""</f>
        <v/>
      </c>
      <c r="BO28" t="str">
        <f>""</f>
        <v/>
      </c>
      <c r="BP28" t="str">
        <f>""</f>
        <v/>
      </c>
      <c r="BQ28" t="str">
        <f>""</f>
        <v/>
      </c>
      <c r="BR28" t="str">
        <f>""</f>
        <v/>
      </c>
      <c r="BS28" t="str">
        <f>""</f>
        <v/>
      </c>
      <c r="BT28" t="str">
        <f>""</f>
        <v/>
      </c>
      <c r="BU28" t="str">
        <f>""</f>
        <v/>
      </c>
      <c r="BV28" t="str">
        <f>""</f>
        <v/>
      </c>
      <c r="BW28" t="str">
        <f>""</f>
        <v/>
      </c>
      <c r="BX28" t="str">
        <f>""</f>
        <v/>
      </c>
      <c r="BY28" t="str">
        <f>""</f>
        <v/>
      </c>
      <c r="BZ28" t="str">
        <f>""</f>
        <v/>
      </c>
      <c r="CA28" t="str">
        <f>""</f>
        <v/>
      </c>
      <c r="CB28" t="str">
        <f>""</f>
        <v/>
      </c>
      <c r="CC28" t="str">
        <f>""</f>
        <v/>
      </c>
      <c r="CD28" t="str">
        <f>""</f>
        <v/>
      </c>
      <c r="CE28" t="str">
        <f>""</f>
        <v/>
      </c>
      <c r="CF28" t="str">
        <f>""</f>
        <v/>
      </c>
      <c r="CG28" t="str">
        <f>""</f>
        <v/>
      </c>
      <c r="CH28" t="str">
        <f>""</f>
        <v/>
      </c>
      <c r="CI28" t="str">
        <f>""</f>
        <v/>
      </c>
      <c r="CJ28" t="str">
        <f>""</f>
        <v/>
      </c>
      <c r="CK28" t="str">
        <f>""</f>
        <v/>
      </c>
      <c r="CL28" t="str">
        <f>""</f>
        <v/>
      </c>
      <c r="CM28" t="str">
        <f>""</f>
        <v/>
      </c>
      <c r="CN28" t="str">
        <f>""</f>
        <v/>
      </c>
      <c r="CO28" t="str">
        <f>""</f>
        <v/>
      </c>
      <c r="CP28" t="str">
        <f>""</f>
        <v/>
      </c>
      <c r="CQ28" t="str">
        <f>""</f>
        <v/>
      </c>
      <c r="CR28" t="str">
        <f>""</f>
        <v/>
      </c>
      <c r="CS28" t="str">
        <f>""</f>
        <v/>
      </c>
      <c r="CT28" t="str">
        <f>""</f>
        <v/>
      </c>
      <c r="CU28" t="str">
        <f>""</f>
        <v/>
      </c>
      <c r="CV28" t="str">
        <f>""</f>
        <v/>
      </c>
      <c r="CW28" t="str">
        <f>""</f>
        <v/>
      </c>
      <c r="CX28" t="str">
        <f>""</f>
        <v/>
      </c>
      <c r="CY28" t="str">
        <f>""</f>
        <v/>
      </c>
      <c r="CZ28" t="str">
        <f>""</f>
        <v/>
      </c>
      <c r="DA28" t="str">
        <f>""</f>
        <v/>
      </c>
      <c r="DB28" t="str">
        <f>""</f>
        <v/>
      </c>
      <c r="DC28" t="str">
        <f>""</f>
        <v/>
      </c>
      <c r="DD28" t="str">
        <f>""</f>
        <v/>
      </c>
      <c r="DE28" t="str">
        <f>""</f>
        <v/>
      </c>
      <c r="DF28" t="str">
        <f>""</f>
        <v/>
      </c>
      <c r="DG28" t="str">
        <f>""</f>
        <v/>
      </c>
      <c r="DH28" t="str">
        <f>""</f>
        <v/>
      </c>
      <c r="DI28" t="str">
        <f>""</f>
        <v/>
      </c>
      <c r="DJ28" t="str">
        <f>""</f>
        <v/>
      </c>
      <c r="DK28" t="str">
        <f>""</f>
        <v/>
      </c>
      <c r="DL28" t="str">
        <f>""</f>
        <v/>
      </c>
      <c r="DM28" t="str">
        <f>""</f>
        <v/>
      </c>
      <c r="DN28" t="str">
        <f>""</f>
        <v/>
      </c>
      <c r="DO28" t="str">
        <f>""</f>
        <v/>
      </c>
      <c r="DP28" t="str">
        <f>""</f>
        <v/>
      </c>
      <c r="DQ28" t="str">
        <f>""</f>
        <v/>
      </c>
      <c r="DR28" t="str">
        <f>""</f>
        <v/>
      </c>
      <c r="DS28" t="str">
        <f>""</f>
        <v/>
      </c>
      <c r="DT28" t="str">
        <f>""</f>
        <v/>
      </c>
      <c r="DU28" t="str">
        <f>""</f>
        <v/>
      </c>
    </row>
    <row r="29" spans="1:125">
      <c r="BN29" t="str">
        <f>""</f>
        <v/>
      </c>
      <c r="BO29" t="str">
        <f>""</f>
        <v/>
      </c>
      <c r="BP29" t="str">
        <f>""</f>
        <v/>
      </c>
      <c r="BQ29" t="str">
        <f>""</f>
        <v/>
      </c>
      <c r="BR29" t="str">
        <f>""</f>
        <v/>
      </c>
      <c r="BS29" t="str">
        <f>""</f>
        <v/>
      </c>
      <c r="BT29" t="str">
        <f>""</f>
        <v/>
      </c>
      <c r="BU29" t="str">
        <f>""</f>
        <v/>
      </c>
      <c r="BV29" t="str">
        <f>""</f>
        <v/>
      </c>
      <c r="BW29" t="str">
        <f>""</f>
        <v/>
      </c>
      <c r="BX29" t="str">
        <f>""</f>
        <v/>
      </c>
      <c r="BY29" t="str">
        <f>""</f>
        <v/>
      </c>
      <c r="BZ29" t="str">
        <f>""</f>
        <v/>
      </c>
      <c r="CA29" t="str">
        <f>""</f>
        <v/>
      </c>
      <c r="CB29" t="str">
        <f>""</f>
        <v/>
      </c>
      <c r="CC29" t="str">
        <f>""</f>
        <v/>
      </c>
      <c r="CD29" t="str">
        <f>""</f>
        <v/>
      </c>
      <c r="CE29" t="str">
        <f>""</f>
        <v/>
      </c>
      <c r="CF29" t="str">
        <f>""</f>
        <v/>
      </c>
      <c r="CG29" t="str">
        <f>""</f>
        <v/>
      </c>
      <c r="CH29" t="str">
        <f>""</f>
        <v/>
      </c>
      <c r="CI29" t="str">
        <f>""</f>
        <v/>
      </c>
      <c r="CJ29" t="str">
        <f>""</f>
        <v/>
      </c>
      <c r="CK29" t="str">
        <f>""</f>
        <v/>
      </c>
      <c r="CL29" t="str">
        <f>""</f>
        <v/>
      </c>
      <c r="CM29" t="str">
        <f>""</f>
        <v/>
      </c>
      <c r="CN29" t="str">
        <f>""</f>
        <v/>
      </c>
      <c r="CO29" t="str">
        <f>""</f>
        <v/>
      </c>
      <c r="CP29" t="str">
        <f>""</f>
        <v/>
      </c>
      <c r="CQ29" t="str">
        <f>""</f>
        <v/>
      </c>
      <c r="CR29" t="str">
        <f>""</f>
        <v/>
      </c>
      <c r="CS29" t="str">
        <f>""</f>
        <v/>
      </c>
      <c r="CT29" t="str">
        <f>""</f>
        <v/>
      </c>
      <c r="CU29" t="str">
        <f>""</f>
        <v/>
      </c>
      <c r="CV29" t="str">
        <f>""</f>
        <v/>
      </c>
      <c r="CW29" t="str">
        <f>""</f>
        <v/>
      </c>
      <c r="CX29" t="str">
        <f>""</f>
        <v/>
      </c>
      <c r="CY29" t="str">
        <f>""</f>
        <v/>
      </c>
      <c r="CZ29" t="str">
        <f>""</f>
        <v/>
      </c>
      <c r="DA29" t="str">
        <f>""</f>
        <v/>
      </c>
      <c r="DB29" t="str">
        <f>""</f>
        <v/>
      </c>
      <c r="DC29" t="str">
        <f>""</f>
        <v/>
      </c>
      <c r="DD29" t="str">
        <f>""</f>
        <v/>
      </c>
      <c r="DE29" t="str">
        <f>""</f>
        <v/>
      </c>
      <c r="DF29" t="str">
        <f>""</f>
        <v/>
      </c>
      <c r="DG29" t="str">
        <f>""</f>
        <v/>
      </c>
      <c r="DH29" t="str">
        <f>""</f>
        <v/>
      </c>
      <c r="DI29" t="str">
        <f>""</f>
        <v/>
      </c>
      <c r="DJ29" t="str">
        <f>""</f>
        <v/>
      </c>
      <c r="DK29" t="str">
        <f>""</f>
        <v/>
      </c>
      <c r="DL29" t="str">
        <f>""</f>
        <v/>
      </c>
      <c r="DM29" t="str">
        <f>""</f>
        <v/>
      </c>
      <c r="DN29" t="str">
        <f>""</f>
        <v/>
      </c>
      <c r="DO29" t="str">
        <f>""</f>
        <v/>
      </c>
      <c r="DP29" t="str">
        <f>""</f>
        <v/>
      </c>
      <c r="DQ29" t="str">
        <f>""</f>
        <v/>
      </c>
      <c r="DR29" t="str">
        <f>""</f>
        <v/>
      </c>
      <c r="DS29" t="str">
        <f>""</f>
        <v/>
      </c>
      <c r="DT29" t="str">
        <f>""</f>
        <v/>
      </c>
      <c r="DU29" t="str">
        <f>""</f>
        <v/>
      </c>
    </row>
    <row r="30" spans="1:125">
      <c r="B30" t="str">
        <f>"RECFTAIN Index"</f>
        <v>RECFTAIN Index</v>
      </c>
      <c r="C30" t="str">
        <f>"PR005"</f>
        <v>PR005</v>
      </c>
      <c r="D30" t="str">
        <f>"PX_LAST"</f>
        <v>PX_LAST</v>
      </c>
      <c r="E30" t="str">
        <f>"动态"</f>
        <v>动态</v>
      </c>
      <c r="F30" t="str">
        <f ca="1">BDH($B$30,$C$30,$B$26,$B$27,CONCATENATE("Per=",$B$24),"Dts=H","Dir=H",CONCATENATE("Points=",$B$25),"Sort=R","Days=A","Fill=B",CONCATENATE("FX=", $B$23) )</f>
        <v>#N/A Requesting Data...</v>
      </c>
      <c r="BN30" t="str">
        <f>""</f>
        <v/>
      </c>
      <c r="BO30" t="str">
        <f>""</f>
        <v/>
      </c>
      <c r="BP30" t="str">
        <f>""</f>
        <v/>
      </c>
      <c r="BQ30" t="str">
        <f>""</f>
        <v/>
      </c>
      <c r="BR30" t="str">
        <f>""</f>
        <v/>
      </c>
      <c r="BS30" t="str">
        <f>""</f>
        <v/>
      </c>
      <c r="BT30" t="str">
        <f>""</f>
        <v/>
      </c>
      <c r="BU30" t="str">
        <f>""</f>
        <v/>
      </c>
      <c r="BV30" t="str">
        <f>""</f>
        <v/>
      </c>
      <c r="BW30" t="str">
        <f>""</f>
        <v/>
      </c>
      <c r="BX30" t="str">
        <f>""</f>
        <v/>
      </c>
      <c r="BY30" t="str">
        <f>""</f>
        <v/>
      </c>
      <c r="BZ30" t="str">
        <f>""</f>
        <v/>
      </c>
      <c r="CA30" t="str">
        <f>""</f>
        <v/>
      </c>
      <c r="CB30" t="str">
        <f>""</f>
        <v/>
      </c>
      <c r="CC30" t="str">
        <f>""</f>
        <v/>
      </c>
      <c r="CD30" t="str">
        <f>""</f>
        <v/>
      </c>
      <c r="CE30" t="str">
        <f>""</f>
        <v/>
      </c>
      <c r="CF30" t="str">
        <f>""</f>
        <v/>
      </c>
      <c r="CG30" t="str">
        <f>""</f>
        <v/>
      </c>
      <c r="CH30" t="str">
        <f>""</f>
        <v/>
      </c>
      <c r="CI30" t="str">
        <f>""</f>
        <v/>
      </c>
      <c r="CJ30" t="str">
        <f>""</f>
        <v/>
      </c>
      <c r="CK30" t="str">
        <f>""</f>
        <v/>
      </c>
      <c r="CL30" t="str">
        <f>""</f>
        <v/>
      </c>
      <c r="CM30" t="str">
        <f>""</f>
        <v/>
      </c>
      <c r="CN30" t="str">
        <f>""</f>
        <v/>
      </c>
      <c r="CO30" t="str">
        <f>""</f>
        <v/>
      </c>
      <c r="CP30" t="str">
        <f>""</f>
        <v/>
      </c>
      <c r="CQ30" t="str">
        <f>""</f>
        <v/>
      </c>
      <c r="CR30" t="str">
        <f>""</f>
        <v/>
      </c>
      <c r="CS30" t="str">
        <f>""</f>
        <v/>
      </c>
      <c r="CT30" t="str">
        <f>""</f>
        <v/>
      </c>
      <c r="CU30" t="str">
        <f>""</f>
        <v/>
      </c>
      <c r="CV30" t="str">
        <f>""</f>
        <v/>
      </c>
      <c r="CW30" t="str">
        <f>""</f>
        <v/>
      </c>
      <c r="CX30" t="str">
        <f>""</f>
        <v/>
      </c>
      <c r="CY30" t="str">
        <f>""</f>
        <v/>
      </c>
      <c r="CZ30" t="str">
        <f>""</f>
        <v/>
      </c>
      <c r="DA30" t="str">
        <f>""</f>
        <v/>
      </c>
      <c r="DB30" t="str">
        <f>""</f>
        <v/>
      </c>
      <c r="DC30" t="str">
        <f>""</f>
        <v/>
      </c>
      <c r="DD30" t="str">
        <f>""</f>
        <v/>
      </c>
      <c r="DE30" t="str">
        <f>""</f>
        <v/>
      </c>
      <c r="DF30" t="str">
        <f>""</f>
        <v/>
      </c>
      <c r="DG30" t="str">
        <f>""</f>
        <v/>
      </c>
      <c r="DH30" t="str">
        <f>""</f>
        <v/>
      </c>
      <c r="DI30" t="str">
        <f>""</f>
        <v/>
      </c>
      <c r="DJ30" t="str">
        <f>""</f>
        <v/>
      </c>
      <c r="DK30" t="str">
        <f>""</f>
        <v/>
      </c>
      <c r="DL30" t="str">
        <f>""</f>
        <v/>
      </c>
      <c r="DM30" t="str">
        <f>""</f>
        <v/>
      </c>
      <c r="DN30" t="str">
        <f>""</f>
        <v/>
      </c>
      <c r="DO30" t="str">
        <f>""</f>
        <v/>
      </c>
      <c r="DP30" t="str">
        <f>""</f>
        <v/>
      </c>
      <c r="DQ30" t="str">
        <f>""</f>
        <v/>
      </c>
      <c r="DR30" t="str">
        <f>""</f>
        <v/>
      </c>
      <c r="DS30" t="str">
        <f>""</f>
        <v/>
      </c>
      <c r="DT30" t="str">
        <f>""</f>
        <v/>
      </c>
      <c r="DU30" t="str">
        <f>""</f>
        <v/>
      </c>
    </row>
    <row r="31" spans="1:125">
      <c r="B31" t="str">
        <f>"RECFDSIN Index"</f>
        <v>RECFDSIN Index</v>
      </c>
      <c r="C31" t="str">
        <f>"PR005"</f>
        <v>PR005</v>
      </c>
      <c r="D31" t="str">
        <f>"PX_LAST"</f>
        <v>PX_LAST</v>
      </c>
      <c r="E31" t="str">
        <f>"动态"</f>
        <v>动态</v>
      </c>
      <c r="F31" t="str">
        <f ca="1">BDH($B$31,$C$31,$B$26,$B$27,CONCATENATE("Per=",$B$24),"Dts=H","Dir=H",CONCATENATE("Points=",$B$25),"Sort=R","Days=A","Fill=B",CONCATENATE("FX=", $B$23) )</f>
        <v>#N/A Requesting Data...</v>
      </c>
      <c r="BN31" t="str">
        <f>""</f>
        <v/>
      </c>
      <c r="BO31" t="str">
        <f>""</f>
        <v/>
      </c>
      <c r="BP31" t="str">
        <f>""</f>
        <v/>
      </c>
      <c r="BQ31" t="str">
        <f>""</f>
        <v/>
      </c>
      <c r="BR31" t="str">
        <f>""</f>
        <v/>
      </c>
      <c r="BS31" t="str">
        <f>""</f>
        <v/>
      </c>
      <c r="BT31" t="str">
        <f>""</f>
        <v/>
      </c>
      <c r="BU31" t="str">
        <f>""</f>
        <v/>
      </c>
      <c r="BV31" t="str">
        <f>""</f>
        <v/>
      </c>
      <c r="BW31" t="str">
        <f>""</f>
        <v/>
      </c>
      <c r="BX31" t="str">
        <f>""</f>
        <v/>
      </c>
      <c r="BY31" t="str">
        <f>""</f>
        <v/>
      </c>
      <c r="BZ31" t="str">
        <f>""</f>
        <v/>
      </c>
      <c r="CA31" t="str">
        <f>""</f>
        <v/>
      </c>
      <c r="CB31" t="str">
        <f>""</f>
        <v/>
      </c>
      <c r="CC31" t="str">
        <f>""</f>
        <v/>
      </c>
      <c r="CD31" t="str">
        <f>""</f>
        <v/>
      </c>
      <c r="CE31" t="str">
        <f>""</f>
        <v/>
      </c>
      <c r="CF31" t="str">
        <f>""</f>
        <v/>
      </c>
      <c r="CG31" t="str">
        <f>""</f>
        <v/>
      </c>
      <c r="CH31" t="str">
        <f>""</f>
        <v/>
      </c>
      <c r="CI31" t="str">
        <f>""</f>
        <v/>
      </c>
      <c r="CJ31" t="str">
        <f>""</f>
        <v/>
      </c>
      <c r="CK31" t="str">
        <f>""</f>
        <v/>
      </c>
      <c r="CL31" t="str">
        <f>""</f>
        <v/>
      </c>
      <c r="CM31" t="str">
        <f>""</f>
        <v/>
      </c>
      <c r="CN31" t="str">
        <f>""</f>
        <v/>
      </c>
      <c r="CO31" t="str">
        <f>""</f>
        <v/>
      </c>
      <c r="CP31" t="str">
        <f>""</f>
        <v/>
      </c>
      <c r="CQ31" t="str">
        <f>""</f>
        <v/>
      </c>
      <c r="CR31" t="str">
        <f>""</f>
        <v/>
      </c>
      <c r="CS31" t="str">
        <f>""</f>
        <v/>
      </c>
      <c r="CT31" t="str">
        <f>""</f>
        <v/>
      </c>
      <c r="CU31" t="str">
        <f>""</f>
        <v/>
      </c>
      <c r="CV31" t="str">
        <f>""</f>
        <v/>
      </c>
      <c r="CW31" t="str">
        <f>""</f>
        <v/>
      </c>
      <c r="CX31" t="str">
        <f>""</f>
        <v/>
      </c>
      <c r="CY31" t="str">
        <f>""</f>
        <v/>
      </c>
      <c r="CZ31" t="str">
        <f>""</f>
        <v/>
      </c>
      <c r="DA31" t="str">
        <f>""</f>
        <v/>
      </c>
      <c r="DB31" t="str">
        <f>""</f>
        <v/>
      </c>
      <c r="DC31" t="str">
        <f>""</f>
        <v/>
      </c>
      <c r="DD31" t="str">
        <f>""</f>
        <v/>
      </c>
      <c r="DE31" t="str">
        <f>""</f>
        <v/>
      </c>
      <c r="DF31" t="str">
        <f>""</f>
        <v/>
      </c>
      <c r="DG31" t="str">
        <f>""</f>
        <v/>
      </c>
      <c r="DH31" t="str">
        <f>""</f>
        <v/>
      </c>
      <c r="DI31" t="str">
        <f>""</f>
        <v/>
      </c>
      <c r="DJ31" t="str">
        <f>""</f>
        <v/>
      </c>
      <c r="DK31" t="str">
        <f>""</f>
        <v/>
      </c>
      <c r="DL31" t="str">
        <f>""</f>
        <v/>
      </c>
      <c r="DM31" t="str">
        <f>""</f>
        <v/>
      </c>
      <c r="DN31" t="str">
        <f>""</f>
        <v/>
      </c>
      <c r="DO31" t="str">
        <f>""</f>
        <v/>
      </c>
      <c r="DP31" t="str">
        <f>""</f>
        <v/>
      </c>
      <c r="DQ31" t="str">
        <f>""</f>
        <v/>
      </c>
      <c r="DR31" t="str">
        <f>""</f>
        <v/>
      </c>
      <c r="DS31" t="str">
        <f>""</f>
        <v/>
      </c>
      <c r="DT31" t="str">
        <f>""</f>
        <v/>
      </c>
      <c r="DU31" t="str">
        <f>""</f>
        <v/>
      </c>
    </row>
    <row r="32" spans="1:125">
      <c r="B32" t="str">
        <f>"RECFNAIN Index"</f>
        <v>RECFNAIN Index</v>
      </c>
      <c r="C32" t="str">
        <f>"PR005"</f>
        <v>PR005</v>
      </c>
      <c r="D32" t="str">
        <f>"PX_LAST"</f>
        <v>PX_LAST</v>
      </c>
      <c r="E32" t="str">
        <f>"动态"</f>
        <v>动态</v>
      </c>
      <c r="F32" t="str">
        <f ca="1">BDH($B$32,$C$32,$B$26,$B$27,CONCATENATE("Per=",$B$24),"Dts=H","Dir=H",CONCATENATE("Points=",$B$25),"Sort=R","Days=A","Fill=B",CONCATENATE("FX=", $B$23) )</f>
        <v>#N/A Requesting Data...</v>
      </c>
      <c r="BN32" t="str">
        <f>""</f>
        <v/>
      </c>
      <c r="BO32" t="str">
        <f>""</f>
        <v/>
      </c>
      <c r="BP32" t="str">
        <f>""</f>
        <v/>
      </c>
      <c r="BQ32" t="str">
        <f>""</f>
        <v/>
      </c>
      <c r="BR32" t="str">
        <f>""</f>
        <v/>
      </c>
      <c r="BS32" t="str">
        <f>""</f>
        <v/>
      </c>
      <c r="BT32" t="str">
        <f>""</f>
        <v/>
      </c>
      <c r="BU32" t="str">
        <f>""</f>
        <v/>
      </c>
      <c r="BV32" t="str">
        <f>""</f>
        <v/>
      </c>
      <c r="BW32" t="str">
        <f>""</f>
        <v/>
      </c>
      <c r="BX32" t="str">
        <f>""</f>
        <v/>
      </c>
      <c r="BY32" t="str">
        <f>""</f>
        <v/>
      </c>
      <c r="BZ32" t="str">
        <f>""</f>
        <v/>
      </c>
      <c r="CA32" t="str">
        <f>""</f>
        <v/>
      </c>
      <c r="CB32" t="str">
        <f>""</f>
        <v/>
      </c>
      <c r="CC32" t="str">
        <f>""</f>
        <v/>
      </c>
      <c r="CD32" t="str">
        <f>""</f>
        <v/>
      </c>
      <c r="CE32" t="str">
        <f>""</f>
        <v/>
      </c>
      <c r="CF32" t="str">
        <f>""</f>
        <v/>
      </c>
      <c r="CG32" t="str">
        <f>""</f>
        <v/>
      </c>
      <c r="CH32" t="str">
        <f>""</f>
        <v/>
      </c>
      <c r="CI32" t="str">
        <f>""</f>
        <v/>
      </c>
      <c r="CJ32" t="str">
        <f>""</f>
        <v/>
      </c>
      <c r="CK32" t="str">
        <f>""</f>
        <v/>
      </c>
      <c r="CL32" t="str">
        <f>""</f>
        <v/>
      </c>
      <c r="CM32" t="str">
        <f>""</f>
        <v/>
      </c>
      <c r="CN32" t="str">
        <f>""</f>
        <v/>
      </c>
      <c r="CO32" t="str">
        <f>""</f>
        <v/>
      </c>
      <c r="CP32" t="str">
        <f>""</f>
        <v/>
      </c>
      <c r="CQ32" t="str">
        <f>""</f>
        <v/>
      </c>
      <c r="CR32" t="str">
        <f>""</f>
        <v/>
      </c>
      <c r="CS32" t="str">
        <f>""</f>
        <v/>
      </c>
      <c r="CT32" t="str">
        <f>""</f>
        <v/>
      </c>
      <c r="CU32" t="str">
        <f>""</f>
        <v/>
      </c>
      <c r="CV32" t="str">
        <f>""</f>
        <v/>
      </c>
      <c r="CW32" t="str">
        <f>""</f>
        <v/>
      </c>
      <c r="CX32" t="str">
        <f>""</f>
        <v/>
      </c>
      <c r="CY32" t="str">
        <f>""</f>
        <v/>
      </c>
      <c r="CZ32" t="str">
        <f>""</f>
        <v/>
      </c>
      <c r="DA32" t="str">
        <f>""</f>
        <v/>
      </c>
      <c r="DB32" t="str">
        <f>""</f>
        <v/>
      </c>
      <c r="DC32" t="str">
        <f>""</f>
        <v/>
      </c>
      <c r="DD32" t="str">
        <f>""</f>
        <v/>
      </c>
      <c r="DE32" t="str">
        <f>""</f>
        <v/>
      </c>
      <c r="DF32" t="str">
        <f>""</f>
        <v/>
      </c>
      <c r="DG32" t="str">
        <f>""</f>
        <v/>
      </c>
      <c r="DH32" t="str">
        <f>""</f>
        <v/>
      </c>
      <c r="DI32" t="str">
        <f>""</f>
        <v/>
      </c>
      <c r="DJ32" t="str">
        <f>""</f>
        <v/>
      </c>
      <c r="DK32" t="str">
        <f>""</f>
        <v/>
      </c>
      <c r="DL32" t="str">
        <f>""</f>
        <v/>
      </c>
      <c r="DM32" t="str">
        <f>""</f>
        <v/>
      </c>
      <c r="DN32" t="str">
        <f>""</f>
        <v/>
      </c>
      <c r="DO32" t="str">
        <f>""</f>
        <v/>
      </c>
      <c r="DP32" t="str">
        <f>""</f>
        <v/>
      </c>
      <c r="DQ32" t="str">
        <f>""</f>
        <v/>
      </c>
      <c r="DR32" t="str">
        <f>""</f>
        <v/>
      </c>
      <c r="DS32" t="str">
        <f>""</f>
        <v/>
      </c>
      <c r="DT32" t="str">
        <f>""</f>
        <v/>
      </c>
      <c r="DU32" t="str">
        <f>""</f>
        <v/>
      </c>
    </row>
    <row r="33" spans="1:125">
      <c r="A33" t="str">
        <f>$A$4</f>
        <v xml:space="preserve">    工业房地产投资信托同店净营业利润增长</v>
      </c>
      <c r="B33" t="str">
        <f>$B$4</f>
        <v>RECFSSIN Index</v>
      </c>
      <c r="C33" t="str">
        <f>$C$4</f>
        <v>PR005</v>
      </c>
      <c r="D33" t="str">
        <f>$D$4</f>
        <v>PX_LAST</v>
      </c>
      <c r="E33" t="str">
        <f>$E$4</f>
        <v>动态</v>
      </c>
      <c r="F33" t="str">
        <f ca="1">BDH($B$4,$C$4,$B$26,$B$27,CONCATENATE("Per=",$B$24),"Dts=H","Dir=H",CONCATENATE("Points=",$B$25),"Sort=R","Days=A","Fill=B",CONCATENATE("FX=", $B$23) )</f>
        <v>#N/A Requesting Data...</v>
      </c>
      <c r="BN33" t="str">
        <f>""</f>
        <v/>
      </c>
      <c r="BO33" t="str">
        <f>""</f>
        <v/>
      </c>
      <c r="BP33" t="str">
        <f>""</f>
        <v/>
      </c>
      <c r="BQ33" t="str">
        <f>""</f>
        <v/>
      </c>
      <c r="BR33" t="str">
        <f>""</f>
        <v/>
      </c>
      <c r="BS33" t="str">
        <f>""</f>
        <v/>
      </c>
      <c r="BT33" t="str">
        <f>""</f>
        <v/>
      </c>
      <c r="BU33" t="str">
        <f>""</f>
        <v/>
      </c>
      <c r="BV33" t="str">
        <f>""</f>
        <v/>
      </c>
      <c r="BW33" t="str">
        <f>""</f>
        <v/>
      </c>
      <c r="BX33" t="str">
        <f>""</f>
        <v/>
      </c>
      <c r="BY33" t="str">
        <f>""</f>
        <v/>
      </c>
      <c r="BZ33" t="str">
        <f>""</f>
        <v/>
      </c>
      <c r="CA33" t="str">
        <f>""</f>
        <v/>
      </c>
      <c r="CB33" t="str">
        <f>""</f>
        <v/>
      </c>
      <c r="CC33" t="str">
        <f>""</f>
        <v/>
      </c>
      <c r="CD33" t="str">
        <f>""</f>
        <v/>
      </c>
      <c r="CE33" t="str">
        <f>""</f>
        <v/>
      </c>
      <c r="CF33" t="str">
        <f>""</f>
        <v/>
      </c>
      <c r="CG33" t="str">
        <f>""</f>
        <v/>
      </c>
      <c r="CH33" t="str">
        <f>""</f>
        <v/>
      </c>
      <c r="CI33" t="str">
        <f>""</f>
        <v/>
      </c>
      <c r="CJ33" t="str">
        <f>""</f>
        <v/>
      </c>
      <c r="CK33" t="str">
        <f>""</f>
        <v/>
      </c>
      <c r="CL33" t="str">
        <f>""</f>
        <v/>
      </c>
      <c r="CM33" t="str">
        <f>""</f>
        <v/>
      </c>
      <c r="CN33" t="str">
        <f>""</f>
        <v/>
      </c>
      <c r="CO33" t="str">
        <f>""</f>
        <v/>
      </c>
      <c r="CP33" t="str">
        <f>""</f>
        <v/>
      </c>
      <c r="CQ33" t="str">
        <f>""</f>
        <v/>
      </c>
      <c r="CR33" t="str">
        <f>""</f>
        <v/>
      </c>
      <c r="CS33" t="str">
        <f>""</f>
        <v/>
      </c>
      <c r="CT33" t="str">
        <f>""</f>
        <v/>
      </c>
      <c r="CU33" t="str">
        <f>""</f>
        <v/>
      </c>
      <c r="CV33" t="str">
        <f>""</f>
        <v/>
      </c>
      <c r="CW33" t="str">
        <f>""</f>
        <v/>
      </c>
      <c r="CX33" t="str">
        <f>""</f>
        <v/>
      </c>
      <c r="CY33" t="str">
        <f>""</f>
        <v/>
      </c>
      <c r="CZ33" t="str">
        <f>""</f>
        <v/>
      </c>
      <c r="DA33" t="str">
        <f>""</f>
        <v/>
      </c>
      <c r="DB33" t="str">
        <f>""</f>
        <v/>
      </c>
      <c r="DC33" t="str">
        <f>""</f>
        <v/>
      </c>
      <c r="DD33" t="str">
        <f>""</f>
        <v/>
      </c>
      <c r="DE33" t="str">
        <f>""</f>
        <v/>
      </c>
      <c r="DF33" t="str">
        <f>""</f>
        <v/>
      </c>
      <c r="DG33" t="str">
        <f>""</f>
        <v/>
      </c>
      <c r="DH33" t="str">
        <f>""</f>
        <v/>
      </c>
      <c r="DI33" t="str">
        <f>""</f>
        <v/>
      </c>
      <c r="DJ33" t="str">
        <f>""</f>
        <v/>
      </c>
      <c r="DK33" t="str">
        <f>""</f>
        <v/>
      </c>
      <c r="DL33" t="str">
        <f>""</f>
        <v/>
      </c>
      <c r="DM33" t="str">
        <f>""</f>
        <v/>
      </c>
      <c r="DN33" t="str">
        <f>""</f>
        <v/>
      </c>
      <c r="DO33" t="str">
        <f>""</f>
        <v/>
      </c>
      <c r="DP33" t="str">
        <f>""</f>
        <v/>
      </c>
      <c r="DQ33" t="str">
        <f>""</f>
        <v/>
      </c>
      <c r="DR33" t="str">
        <f>""</f>
        <v/>
      </c>
      <c r="DS33" t="str">
        <f>""</f>
        <v/>
      </c>
      <c r="DT33" t="str">
        <f>""</f>
        <v/>
      </c>
      <c r="DU33" t="str">
        <f>""</f>
        <v/>
      </c>
    </row>
    <row r="34" spans="1:125">
      <c r="A34" t="str">
        <f>$A$5</f>
        <v xml:space="preserve">    工业房地产投资信托平均占用率</v>
      </c>
      <c r="B34" t="str">
        <f>$B$5</f>
        <v>RECFAVIN Index</v>
      </c>
      <c r="C34" t="str">
        <f>$C$5</f>
        <v>PR005</v>
      </c>
      <c r="D34" t="str">
        <f>$D$5</f>
        <v>PX_LAST</v>
      </c>
      <c r="E34" t="str">
        <f>$E$5</f>
        <v>动态</v>
      </c>
      <c r="F34" t="str">
        <f ca="1">BDH($B$5,$C$5,$B$26,$B$27,CONCATENATE("Per=",$B$24),"Dts=H","Dir=H",CONCATENATE("Points=",$B$25),"Sort=R","Days=A","Fill=B",CONCATENATE("FX=", $B$23) )</f>
        <v>#N/A Requesting Data...</v>
      </c>
      <c r="BN34" t="str">
        <f>""</f>
        <v/>
      </c>
      <c r="BO34" t="str">
        <f>""</f>
        <v/>
      </c>
      <c r="BP34" t="str">
        <f>""</f>
        <v/>
      </c>
      <c r="BQ34" t="str">
        <f>""</f>
        <v/>
      </c>
      <c r="BR34" t="str">
        <f>""</f>
        <v/>
      </c>
      <c r="BS34" t="str">
        <f>""</f>
        <v/>
      </c>
      <c r="BT34" t="str">
        <f>""</f>
        <v/>
      </c>
      <c r="BU34" t="str">
        <f>""</f>
        <v/>
      </c>
      <c r="BV34" t="str">
        <f>""</f>
        <v/>
      </c>
      <c r="BW34" t="str">
        <f>""</f>
        <v/>
      </c>
      <c r="BX34" t="str">
        <f>""</f>
        <v/>
      </c>
      <c r="BY34" t="str">
        <f>""</f>
        <v/>
      </c>
      <c r="BZ34" t="str">
        <f>""</f>
        <v/>
      </c>
      <c r="CA34" t="str">
        <f>""</f>
        <v/>
      </c>
      <c r="CB34" t="str">
        <f>""</f>
        <v/>
      </c>
      <c r="CC34" t="str">
        <f>""</f>
        <v/>
      </c>
      <c r="CD34" t="str">
        <f>""</f>
        <v/>
      </c>
      <c r="CE34" t="str">
        <f>""</f>
        <v/>
      </c>
      <c r="CF34" t="str">
        <f>""</f>
        <v/>
      </c>
      <c r="CG34" t="str">
        <f>""</f>
        <v/>
      </c>
      <c r="CH34" t="str">
        <f>""</f>
        <v/>
      </c>
      <c r="CI34" t="str">
        <f>""</f>
        <v/>
      </c>
      <c r="CJ34" t="str">
        <f>""</f>
        <v/>
      </c>
      <c r="CK34" t="str">
        <f>""</f>
        <v/>
      </c>
      <c r="CL34" t="str">
        <f>""</f>
        <v/>
      </c>
      <c r="CM34" t="str">
        <f>""</f>
        <v/>
      </c>
      <c r="CN34" t="str">
        <f>""</f>
        <v/>
      </c>
      <c r="CO34" t="str">
        <f>""</f>
        <v/>
      </c>
      <c r="CP34" t="str">
        <f>""</f>
        <v/>
      </c>
      <c r="CQ34" t="str">
        <f>""</f>
        <v/>
      </c>
      <c r="CR34" t="str">
        <f>""</f>
        <v/>
      </c>
      <c r="CS34" t="str">
        <f>""</f>
        <v/>
      </c>
      <c r="CT34" t="str">
        <f>""</f>
        <v/>
      </c>
      <c r="CU34" t="str">
        <f>""</f>
        <v/>
      </c>
      <c r="CV34" t="str">
        <f>""</f>
        <v/>
      </c>
      <c r="CW34" t="str">
        <f>""</f>
        <v/>
      </c>
      <c r="CX34" t="str">
        <f>""</f>
        <v/>
      </c>
      <c r="CY34" t="str">
        <f>""</f>
        <v/>
      </c>
      <c r="CZ34" t="str">
        <f>""</f>
        <v/>
      </c>
      <c r="DA34" t="str">
        <f>""</f>
        <v/>
      </c>
      <c r="DB34" t="str">
        <f>""</f>
        <v/>
      </c>
      <c r="DC34" t="str">
        <f>""</f>
        <v/>
      </c>
      <c r="DD34" t="str">
        <f>""</f>
        <v/>
      </c>
      <c r="DE34" t="str">
        <f>""</f>
        <v/>
      </c>
      <c r="DF34" t="str">
        <f>""</f>
        <v/>
      </c>
      <c r="DG34" t="str">
        <f>""</f>
        <v/>
      </c>
      <c r="DH34" t="str">
        <f>""</f>
        <v/>
      </c>
      <c r="DI34" t="str">
        <f>""</f>
        <v/>
      </c>
      <c r="DJ34" t="str">
        <f>""</f>
        <v/>
      </c>
      <c r="DK34" t="str">
        <f>""</f>
        <v/>
      </c>
      <c r="DL34" t="str">
        <f>""</f>
        <v/>
      </c>
      <c r="DM34" t="str">
        <f>""</f>
        <v/>
      </c>
      <c r="DN34" t="str">
        <f>""</f>
        <v/>
      </c>
      <c r="DO34" t="str">
        <f>""</f>
        <v/>
      </c>
      <c r="DP34" t="str">
        <f>""</f>
        <v/>
      </c>
      <c r="DQ34" t="str">
        <f>""</f>
        <v/>
      </c>
      <c r="DR34" t="str">
        <f>""</f>
        <v/>
      </c>
      <c r="DS34" t="str">
        <f>""</f>
        <v/>
      </c>
      <c r="DT34" t="str">
        <f>""</f>
        <v/>
      </c>
      <c r="DU34" t="str">
        <f>""</f>
        <v/>
      </c>
    </row>
    <row r="35" spans="1:125">
      <c r="A35" t="str">
        <f>$A$6</f>
        <v xml:space="preserve">    工业房地产投资信托总营运现金流</v>
      </c>
      <c r="B35" t="str">
        <f>$B$6</f>
        <v>RECFFOIN Index</v>
      </c>
      <c r="C35" t="str">
        <f>$C$6</f>
        <v>PR005</v>
      </c>
      <c r="D35" t="str">
        <f>$D$6</f>
        <v>PX_LAST</v>
      </c>
      <c r="E35" t="str">
        <f>$E$6</f>
        <v>动态</v>
      </c>
      <c r="F35" t="str">
        <f ca="1">BDH($B$6,$C$6,$B$26,$B$27,CONCATENATE("Per=",$B$24),"Dts=H","Dir=H",CONCATENATE("Points=",$B$25),"Sort=R","Days=A","Fill=B",CONCATENATE("FX=", $B$23) )</f>
        <v>#N/A Requesting Data...</v>
      </c>
      <c r="BN35" t="str">
        <f>""</f>
        <v/>
      </c>
      <c r="BO35" t="str">
        <f>""</f>
        <v/>
      </c>
      <c r="BP35" t="str">
        <f>""</f>
        <v/>
      </c>
      <c r="BQ35" t="str">
        <f>""</f>
        <v/>
      </c>
      <c r="BR35" t="str">
        <f>""</f>
        <v/>
      </c>
      <c r="BS35" t="str">
        <f>""</f>
        <v/>
      </c>
      <c r="BT35" t="str">
        <f>""</f>
        <v/>
      </c>
      <c r="BU35" t="str">
        <f>""</f>
        <v/>
      </c>
      <c r="BV35" t="str">
        <f>""</f>
        <v/>
      </c>
      <c r="BW35" t="str">
        <f>""</f>
        <v/>
      </c>
      <c r="BX35" t="str">
        <f>""</f>
        <v/>
      </c>
      <c r="BY35" t="str">
        <f>""</f>
        <v/>
      </c>
      <c r="BZ35" t="str">
        <f>""</f>
        <v/>
      </c>
      <c r="CA35" t="str">
        <f>""</f>
        <v/>
      </c>
      <c r="CB35" t="str">
        <f>""</f>
        <v/>
      </c>
      <c r="CC35" t="str">
        <f>""</f>
        <v/>
      </c>
      <c r="CD35" t="str">
        <f>""</f>
        <v/>
      </c>
      <c r="CE35" t="str">
        <f>""</f>
        <v/>
      </c>
      <c r="CF35" t="str">
        <f>""</f>
        <v/>
      </c>
      <c r="CG35" t="str">
        <f>""</f>
        <v/>
      </c>
      <c r="CH35" t="str">
        <f>""</f>
        <v/>
      </c>
      <c r="CI35" t="str">
        <f>""</f>
        <v/>
      </c>
      <c r="CJ35" t="str">
        <f>""</f>
        <v/>
      </c>
      <c r="CK35" t="str">
        <f>""</f>
        <v/>
      </c>
      <c r="CL35" t="str">
        <f>""</f>
        <v/>
      </c>
      <c r="CM35" t="str">
        <f>""</f>
        <v/>
      </c>
      <c r="CN35" t="str">
        <f>""</f>
        <v/>
      </c>
      <c r="CO35" t="str">
        <f>""</f>
        <v/>
      </c>
      <c r="CP35" t="str">
        <f>""</f>
        <v/>
      </c>
      <c r="CQ35" t="str">
        <f>""</f>
        <v/>
      </c>
      <c r="CR35" t="str">
        <f>""</f>
        <v/>
      </c>
      <c r="CS35" t="str">
        <f>""</f>
        <v/>
      </c>
      <c r="CT35" t="str">
        <f>""</f>
        <v/>
      </c>
      <c r="CU35" t="str">
        <f>""</f>
        <v/>
      </c>
      <c r="CV35" t="str">
        <f>""</f>
        <v/>
      </c>
      <c r="CW35" t="str">
        <f>""</f>
        <v/>
      </c>
      <c r="CX35" t="str">
        <f>""</f>
        <v/>
      </c>
      <c r="CY35" t="str">
        <f>""</f>
        <v/>
      </c>
      <c r="CZ35" t="str">
        <f>""</f>
        <v/>
      </c>
      <c r="DA35" t="str">
        <f>""</f>
        <v/>
      </c>
      <c r="DB35" t="str">
        <f>""</f>
        <v/>
      </c>
      <c r="DC35" t="str">
        <f>""</f>
        <v/>
      </c>
      <c r="DD35" t="str">
        <f>""</f>
        <v/>
      </c>
      <c r="DE35" t="str">
        <f>""</f>
        <v/>
      </c>
      <c r="DF35" t="str">
        <f>""</f>
        <v/>
      </c>
      <c r="DG35" t="str">
        <f>""</f>
        <v/>
      </c>
      <c r="DH35" t="str">
        <f>""</f>
        <v/>
      </c>
      <c r="DI35" t="str">
        <f>""</f>
        <v/>
      </c>
      <c r="DJ35" t="str">
        <f>""</f>
        <v/>
      </c>
      <c r="DK35" t="str">
        <f>""</f>
        <v/>
      </c>
      <c r="DL35" t="str">
        <f>""</f>
        <v/>
      </c>
      <c r="DM35" t="str">
        <f>""</f>
        <v/>
      </c>
      <c r="DN35" t="str">
        <f>""</f>
        <v/>
      </c>
      <c r="DO35" t="str">
        <f>""</f>
        <v/>
      </c>
      <c r="DP35" t="str">
        <f>""</f>
        <v/>
      </c>
      <c r="DQ35" t="str">
        <f>""</f>
        <v/>
      </c>
      <c r="DR35" t="str">
        <f>""</f>
        <v/>
      </c>
      <c r="DS35" t="str">
        <f>""</f>
        <v/>
      </c>
      <c r="DT35" t="str">
        <f>""</f>
        <v/>
      </c>
      <c r="DU35" t="str">
        <f>""</f>
        <v/>
      </c>
    </row>
    <row r="36" spans="1:125">
      <c r="A36" t="str">
        <f>$A$7</f>
        <v xml:space="preserve">    工业房地产投资信托净营业利润</v>
      </c>
      <c r="B36" t="str">
        <f>$B$7</f>
        <v>RECFNOIN Index</v>
      </c>
      <c r="C36" t="str">
        <f>$C$7</f>
        <v>PR005</v>
      </c>
      <c r="D36" t="str">
        <f>$D$7</f>
        <v>PX_LAST</v>
      </c>
      <c r="E36" t="str">
        <f>$E$7</f>
        <v>动态</v>
      </c>
      <c r="F36" t="str">
        <f ca="1">BDH($B$7,$C$7,$B$26,$B$27,CONCATENATE("Per=",$B$24),"Dts=H","Dir=H",CONCATENATE("Points=",$B$25),"Sort=R","Days=A","Fill=B",CONCATENATE("FX=", $B$23) )</f>
        <v>#N/A Requesting Data...</v>
      </c>
      <c r="BN36" t="str">
        <f>""</f>
        <v/>
      </c>
      <c r="BO36" t="str">
        <f>""</f>
        <v/>
      </c>
      <c r="BP36" t="str">
        <f>""</f>
        <v/>
      </c>
      <c r="BQ36" t="str">
        <f>""</f>
        <v/>
      </c>
      <c r="BR36" t="str">
        <f>""</f>
        <v/>
      </c>
      <c r="BS36" t="str">
        <f>""</f>
        <v/>
      </c>
      <c r="BT36" t="str">
        <f>""</f>
        <v/>
      </c>
      <c r="BU36" t="str">
        <f>""</f>
        <v/>
      </c>
      <c r="BV36" t="str">
        <f>""</f>
        <v/>
      </c>
      <c r="BW36" t="str">
        <f>""</f>
        <v/>
      </c>
      <c r="BX36" t="str">
        <f>""</f>
        <v/>
      </c>
      <c r="BY36" t="str">
        <f>""</f>
        <v/>
      </c>
      <c r="BZ36" t="str">
        <f>""</f>
        <v/>
      </c>
      <c r="CA36" t="str">
        <f>""</f>
        <v/>
      </c>
      <c r="CB36" t="str">
        <f>""</f>
        <v/>
      </c>
      <c r="CC36" t="str">
        <f>""</f>
        <v/>
      </c>
      <c r="CD36" t="str">
        <f>""</f>
        <v/>
      </c>
      <c r="CE36" t="str">
        <f>""</f>
        <v/>
      </c>
      <c r="CF36" t="str">
        <f>""</f>
        <v/>
      </c>
      <c r="CG36" t="str">
        <f>""</f>
        <v/>
      </c>
      <c r="CH36" t="str">
        <f>""</f>
        <v/>
      </c>
      <c r="CI36" t="str">
        <f>""</f>
        <v/>
      </c>
      <c r="CJ36" t="str">
        <f>""</f>
        <v/>
      </c>
      <c r="CK36" t="str">
        <f>""</f>
        <v/>
      </c>
      <c r="CL36" t="str">
        <f>""</f>
        <v/>
      </c>
      <c r="CM36" t="str">
        <f>""</f>
        <v/>
      </c>
      <c r="CN36" t="str">
        <f>""</f>
        <v/>
      </c>
      <c r="CO36" t="str">
        <f>""</f>
        <v/>
      </c>
      <c r="CP36" t="str">
        <f>""</f>
        <v/>
      </c>
      <c r="CQ36" t="str">
        <f>""</f>
        <v/>
      </c>
      <c r="CR36" t="str">
        <f>""</f>
        <v/>
      </c>
      <c r="CS36" t="str">
        <f>""</f>
        <v/>
      </c>
      <c r="CT36" t="str">
        <f>""</f>
        <v/>
      </c>
      <c r="CU36" t="str">
        <f>""</f>
        <v/>
      </c>
      <c r="CV36" t="str">
        <f>""</f>
        <v/>
      </c>
      <c r="CW36" t="str">
        <f>""</f>
        <v/>
      </c>
      <c r="CX36" t="str">
        <f>""</f>
        <v/>
      </c>
      <c r="CY36" t="str">
        <f>""</f>
        <v/>
      </c>
      <c r="CZ36" t="str">
        <f>""</f>
        <v/>
      </c>
      <c r="DA36" t="str">
        <f>""</f>
        <v/>
      </c>
      <c r="DB36" t="str">
        <f>""</f>
        <v/>
      </c>
      <c r="DC36" t="str">
        <f>""</f>
        <v/>
      </c>
      <c r="DD36" t="str">
        <f>""</f>
        <v/>
      </c>
      <c r="DE36" t="str">
        <f>""</f>
        <v/>
      </c>
      <c r="DF36" t="str">
        <f>""</f>
        <v/>
      </c>
      <c r="DG36" t="str">
        <f>""</f>
        <v/>
      </c>
      <c r="DH36" t="str">
        <f>""</f>
        <v/>
      </c>
      <c r="DI36" t="str">
        <f>""</f>
        <v/>
      </c>
      <c r="DJ36" t="str">
        <f>""</f>
        <v/>
      </c>
      <c r="DK36" t="str">
        <f>""</f>
        <v/>
      </c>
      <c r="DL36" t="str">
        <f>""</f>
        <v/>
      </c>
      <c r="DM36" t="str">
        <f>""</f>
        <v/>
      </c>
      <c r="DN36" t="str">
        <f>""</f>
        <v/>
      </c>
      <c r="DO36" t="str">
        <f>""</f>
        <v/>
      </c>
      <c r="DP36" t="str">
        <f>""</f>
        <v/>
      </c>
      <c r="DQ36" t="str">
        <f>""</f>
        <v/>
      </c>
      <c r="DR36" t="str">
        <f>""</f>
        <v/>
      </c>
      <c r="DS36" t="str">
        <f>""</f>
        <v/>
      </c>
      <c r="DT36" t="str">
        <f>""</f>
        <v/>
      </c>
      <c r="DU36" t="str">
        <f>""</f>
        <v/>
      </c>
    </row>
    <row r="37" spans="1:125">
      <c r="A37" t="str">
        <f>$A$8</f>
        <v xml:space="preserve">    工业房地产投资信托总股利支付</v>
      </c>
      <c r="B37" t="str">
        <f>$B$8</f>
        <v>RECFTDIN Index</v>
      </c>
      <c r="C37" t="str">
        <f>$C$8</f>
        <v>PR005</v>
      </c>
      <c r="D37" t="str">
        <f>$D$8</f>
        <v>PX_LAST</v>
      </c>
      <c r="E37" t="str">
        <f>$E$8</f>
        <v>动态</v>
      </c>
      <c r="F37" t="str">
        <f ca="1">BDH($B$8,$C$8,$B$26,$B$27,CONCATENATE("Per=",$B$24),"Dts=H","Dir=H",CONCATENATE("Points=",$B$25),"Sort=R","Days=A","Fill=B",CONCATENATE("FX=", $B$23) )</f>
        <v>#N/A Requesting Data...</v>
      </c>
      <c r="BN37" t="str">
        <f>""</f>
        <v/>
      </c>
      <c r="BO37" t="str">
        <f>""</f>
        <v/>
      </c>
      <c r="BP37" t="str">
        <f>""</f>
        <v/>
      </c>
      <c r="BQ37" t="str">
        <f>""</f>
        <v/>
      </c>
      <c r="BR37" t="str">
        <f>""</f>
        <v/>
      </c>
      <c r="BS37" t="str">
        <f>""</f>
        <v/>
      </c>
      <c r="BT37" t="str">
        <f>""</f>
        <v/>
      </c>
      <c r="BU37" t="str">
        <f>""</f>
        <v/>
      </c>
      <c r="BV37" t="str">
        <f>""</f>
        <v/>
      </c>
      <c r="BW37" t="str">
        <f>""</f>
        <v/>
      </c>
      <c r="BX37" t="str">
        <f>""</f>
        <v/>
      </c>
      <c r="BY37" t="str">
        <f>""</f>
        <v/>
      </c>
      <c r="BZ37" t="str">
        <f>""</f>
        <v/>
      </c>
      <c r="CA37" t="str">
        <f>""</f>
        <v/>
      </c>
      <c r="CB37" t="str">
        <f>""</f>
        <v/>
      </c>
      <c r="CC37" t="str">
        <f>""</f>
        <v/>
      </c>
      <c r="CD37" t="str">
        <f>""</f>
        <v/>
      </c>
      <c r="CE37" t="str">
        <f>""</f>
        <v/>
      </c>
      <c r="CF37" t="str">
        <f>""</f>
        <v/>
      </c>
      <c r="CG37" t="str">
        <f>""</f>
        <v/>
      </c>
      <c r="CH37" t="str">
        <f>""</f>
        <v/>
      </c>
      <c r="CI37" t="str">
        <f>""</f>
        <v/>
      </c>
      <c r="CJ37" t="str">
        <f>""</f>
        <v/>
      </c>
      <c r="CK37" t="str">
        <f>""</f>
        <v/>
      </c>
      <c r="CL37" t="str">
        <f>""</f>
        <v/>
      </c>
      <c r="CM37" t="str">
        <f>""</f>
        <v/>
      </c>
      <c r="CN37" t="str">
        <f>""</f>
        <v/>
      </c>
      <c r="CO37" t="str">
        <f>""</f>
        <v/>
      </c>
      <c r="CP37" t="str">
        <f>""</f>
        <v/>
      </c>
      <c r="CQ37" t="str">
        <f>""</f>
        <v/>
      </c>
      <c r="CR37" t="str">
        <f>""</f>
        <v/>
      </c>
      <c r="CS37" t="str">
        <f>""</f>
        <v/>
      </c>
      <c r="CT37" t="str">
        <f>""</f>
        <v/>
      </c>
      <c r="CU37" t="str">
        <f>""</f>
        <v/>
      </c>
      <c r="CV37" t="str">
        <f>""</f>
        <v/>
      </c>
      <c r="CW37" t="str">
        <f>""</f>
        <v/>
      </c>
      <c r="CX37" t="str">
        <f>""</f>
        <v/>
      </c>
      <c r="CY37" t="str">
        <f>""</f>
        <v/>
      </c>
      <c r="CZ37" t="str">
        <f>""</f>
        <v/>
      </c>
      <c r="DA37" t="str">
        <f>""</f>
        <v/>
      </c>
      <c r="DB37" t="str">
        <f>""</f>
        <v/>
      </c>
      <c r="DC37" t="str">
        <f>""</f>
        <v/>
      </c>
      <c r="DD37" t="str">
        <f>""</f>
        <v/>
      </c>
      <c r="DE37" t="str">
        <f>""</f>
        <v/>
      </c>
      <c r="DF37" t="str">
        <f>""</f>
        <v/>
      </c>
      <c r="DG37" t="str">
        <f>""</f>
        <v/>
      </c>
      <c r="DH37" t="str">
        <f>""</f>
        <v/>
      </c>
      <c r="DI37" t="str">
        <f>""</f>
        <v/>
      </c>
      <c r="DJ37" t="str">
        <f>""</f>
        <v/>
      </c>
      <c r="DK37" t="str">
        <f>""</f>
        <v/>
      </c>
      <c r="DL37" t="str">
        <f>""</f>
        <v/>
      </c>
      <c r="DM37" t="str">
        <f>""</f>
        <v/>
      </c>
      <c r="DN37" t="str">
        <f>""</f>
        <v/>
      </c>
      <c r="DO37" t="str">
        <f>""</f>
        <v/>
      </c>
      <c r="DP37" t="str">
        <f>""</f>
        <v/>
      </c>
      <c r="DQ37" t="str">
        <f>""</f>
        <v/>
      </c>
      <c r="DR37" t="str">
        <f>""</f>
        <v/>
      </c>
      <c r="DS37" t="str">
        <f>""</f>
        <v/>
      </c>
      <c r="DT37" t="str">
        <f>""</f>
        <v/>
      </c>
      <c r="DU37" t="str">
        <f>""</f>
        <v/>
      </c>
    </row>
    <row r="38" spans="1:125">
      <c r="A38" t="str">
        <f>$A$12</f>
        <v xml:space="preserve">    工业房地产投资信托总开发渠道</v>
      </c>
      <c r="B38" t="str">
        <f>$B$12</f>
        <v>RECFDVIN Index</v>
      </c>
      <c r="C38" t="str">
        <f>$C$12</f>
        <v>PR005</v>
      </c>
      <c r="D38" t="str">
        <f>$D$12</f>
        <v>PX_LAST</v>
      </c>
      <c r="E38" t="str">
        <f>$E$12</f>
        <v>动态</v>
      </c>
      <c r="F38" t="str">
        <f ca="1">BDH($B$12,$C$12,$B$26,$B$27,CONCATENATE("Per=",$B$24),"Dts=H","Dir=H",CONCATENATE("Points=",$B$25),"Sort=R","Days=A","Fill=B",CONCATENATE("FX=", $B$23) )</f>
        <v>#N/A Requesting Data...</v>
      </c>
      <c r="BN38" t="str">
        <f>""</f>
        <v/>
      </c>
      <c r="BO38" t="str">
        <f>""</f>
        <v/>
      </c>
      <c r="BP38" t="str">
        <f>""</f>
        <v/>
      </c>
      <c r="BQ38" t="str">
        <f>""</f>
        <v/>
      </c>
      <c r="BR38" t="str">
        <f>""</f>
        <v/>
      </c>
      <c r="BS38" t="str">
        <f>""</f>
        <v/>
      </c>
      <c r="BT38" t="str">
        <f>""</f>
        <v/>
      </c>
      <c r="BU38" t="str">
        <f>""</f>
        <v/>
      </c>
      <c r="BV38" t="str">
        <f>""</f>
        <v/>
      </c>
      <c r="BW38" t="str">
        <f>""</f>
        <v/>
      </c>
      <c r="BX38" t="str">
        <f>""</f>
        <v/>
      </c>
      <c r="BY38" t="str">
        <f>""</f>
        <v/>
      </c>
      <c r="BZ38" t="str">
        <f>""</f>
        <v/>
      </c>
      <c r="CA38" t="str">
        <f>""</f>
        <v/>
      </c>
      <c r="CB38" t="str">
        <f>""</f>
        <v/>
      </c>
      <c r="CC38" t="str">
        <f>""</f>
        <v/>
      </c>
      <c r="CD38" t="str">
        <f>""</f>
        <v/>
      </c>
      <c r="CE38" t="str">
        <f>""</f>
        <v/>
      </c>
      <c r="CF38" t="str">
        <f>""</f>
        <v/>
      </c>
      <c r="CG38" t="str">
        <f>""</f>
        <v/>
      </c>
      <c r="CH38" t="str">
        <f>""</f>
        <v/>
      </c>
      <c r="CI38" t="str">
        <f>""</f>
        <v/>
      </c>
      <c r="CJ38" t="str">
        <f>""</f>
        <v/>
      </c>
      <c r="CK38" t="str">
        <f>""</f>
        <v/>
      </c>
      <c r="CL38" t="str">
        <f>""</f>
        <v/>
      </c>
      <c r="CM38" t="str">
        <f>""</f>
        <v/>
      </c>
      <c r="CN38" t="str">
        <f>""</f>
        <v/>
      </c>
      <c r="CO38" t="str">
        <f>""</f>
        <v/>
      </c>
      <c r="CP38" t="str">
        <f>""</f>
        <v/>
      </c>
      <c r="CQ38" t="str">
        <f>""</f>
        <v/>
      </c>
      <c r="CR38" t="str">
        <f>""</f>
        <v/>
      </c>
      <c r="CS38" t="str">
        <f>""</f>
        <v/>
      </c>
      <c r="CT38" t="str">
        <f>""</f>
        <v/>
      </c>
      <c r="CU38" t="str">
        <f>""</f>
        <v/>
      </c>
      <c r="CV38" t="str">
        <f>""</f>
        <v/>
      </c>
      <c r="CW38" t="str">
        <f>""</f>
        <v/>
      </c>
      <c r="CX38" t="str">
        <f>""</f>
        <v/>
      </c>
      <c r="CY38" t="str">
        <f>""</f>
        <v/>
      </c>
      <c r="CZ38" t="str">
        <f>""</f>
        <v/>
      </c>
      <c r="DA38" t="str">
        <f>""</f>
        <v/>
      </c>
      <c r="DB38" t="str">
        <f>""</f>
        <v/>
      </c>
      <c r="DC38" t="str">
        <f>""</f>
        <v/>
      </c>
      <c r="DD38" t="str">
        <f>""</f>
        <v/>
      </c>
      <c r="DE38" t="str">
        <f>""</f>
        <v/>
      </c>
      <c r="DF38" t="str">
        <f>""</f>
        <v/>
      </c>
      <c r="DG38" t="str">
        <f>""</f>
        <v/>
      </c>
      <c r="DH38" t="str">
        <f>""</f>
        <v/>
      </c>
      <c r="DI38" t="str">
        <f>""</f>
        <v/>
      </c>
      <c r="DJ38" t="str">
        <f>""</f>
        <v/>
      </c>
      <c r="DK38" t="str">
        <f>""</f>
        <v/>
      </c>
      <c r="DL38" t="str">
        <f>""</f>
        <v/>
      </c>
      <c r="DM38" t="str">
        <f>""</f>
        <v/>
      </c>
      <c r="DN38" t="str">
        <f>""</f>
        <v/>
      </c>
      <c r="DO38" t="str">
        <f>""</f>
        <v/>
      </c>
      <c r="DP38" t="str">
        <f>""</f>
        <v/>
      </c>
      <c r="DQ38" t="str">
        <f>""</f>
        <v/>
      </c>
      <c r="DR38" t="str">
        <f>""</f>
        <v/>
      </c>
      <c r="DS38" t="str">
        <f>""</f>
        <v/>
      </c>
      <c r="DT38" t="str">
        <f>""</f>
        <v/>
      </c>
      <c r="DU38" t="str">
        <f>""</f>
        <v/>
      </c>
    </row>
    <row r="39" spans="1:125">
      <c r="A39" t="str">
        <f>""</f>
        <v/>
      </c>
      <c r="B39" t="str">
        <f>""</f>
        <v/>
      </c>
      <c r="C39" t="str">
        <f>""</f>
        <v/>
      </c>
      <c r="D39" t="str">
        <f>""</f>
        <v/>
      </c>
      <c r="E39" t="str">
        <f>""</f>
        <v/>
      </c>
      <c r="BN39" t="str">
        <f>""</f>
        <v/>
      </c>
      <c r="BO39" t="str">
        <f>""</f>
        <v/>
      </c>
      <c r="BP39" t="str">
        <f>""</f>
        <v/>
      </c>
      <c r="BQ39" t="str">
        <f>""</f>
        <v/>
      </c>
      <c r="BR39" t="str">
        <f>""</f>
        <v/>
      </c>
      <c r="BS39" t="str">
        <f>""</f>
        <v/>
      </c>
      <c r="BT39" t="str">
        <f>""</f>
        <v/>
      </c>
      <c r="BU39" t="str">
        <f>""</f>
        <v/>
      </c>
      <c r="BV39" t="str">
        <f>""</f>
        <v/>
      </c>
      <c r="BW39" t="str">
        <f>""</f>
        <v/>
      </c>
      <c r="BX39" t="str">
        <f>""</f>
        <v/>
      </c>
      <c r="BY39" t="str">
        <f>""</f>
        <v/>
      </c>
      <c r="BZ39" t="str">
        <f>""</f>
        <v/>
      </c>
      <c r="CA39" t="str">
        <f>""</f>
        <v/>
      </c>
      <c r="CB39" t="str">
        <f>""</f>
        <v/>
      </c>
      <c r="CC39" t="str">
        <f>""</f>
        <v/>
      </c>
      <c r="CD39" t="str">
        <f>""</f>
        <v/>
      </c>
      <c r="CE39" t="str">
        <f>""</f>
        <v/>
      </c>
      <c r="CF39" t="str">
        <f>""</f>
        <v/>
      </c>
      <c r="CG39" t="str">
        <f>""</f>
        <v/>
      </c>
      <c r="CH39" t="str">
        <f>""</f>
        <v/>
      </c>
      <c r="CI39" t="str">
        <f>""</f>
        <v/>
      </c>
      <c r="CJ39" t="str">
        <f>""</f>
        <v/>
      </c>
      <c r="CK39" t="str">
        <f>""</f>
        <v/>
      </c>
      <c r="CL39" t="str">
        <f>""</f>
        <v/>
      </c>
      <c r="CM39" t="str">
        <f>""</f>
        <v/>
      </c>
      <c r="CN39" t="str">
        <f>""</f>
        <v/>
      </c>
      <c r="CO39" t="str">
        <f>""</f>
        <v/>
      </c>
      <c r="CP39" t="str">
        <f>""</f>
        <v/>
      </c>
      <c r="CQ39" t="str">
        <f>""</f>
        <v/>
      </c>
      <c r="CR39" t="str">
        <f>""</f>
        <v/>
      </c>
      <c r="CS39" t="str">
        <f>""</f>
        <v/>
      </c>
      <c r="CT39" t="str">
        <f>""</f>
        <v/>
      </c>
      <c r="CU39" t="str">
        <f>""</f>
        <v/>
      </c>
      <c r="CV39" t="str">
        <f>""</f>
        <v/>
      </c>
      <c r="CW39" t="str">
        <f>""</f>
        <v/>
      </c>
      <c r="CX39" t="str">
        <f>""</f>
        <v/>
      </c>
      <c r="CY39" t="str">
        <f>""</f>
        <v/>
      </c>
      <c r="CZ39" t="str">
        <f>""</f>
        <v/>
      </c>
      <c r="DA39" t="str">
        <f>""</f>
        <v/>
      </c>
      <c r="DB39" t="str">
        <f>""</f>
        <v/>
      </c>
      <c r="DC39" t="str">
        <f>""</f>
        <v/>
      </c>
      <c r="DD39" t="str">
        <f>""</f>
        <v/>
      </c>
      <c r="DE39" t="str">
        <f>""</f>
        <v/>
      </c>
      <c r="DF39" t="str">
        <f>""</f>
        <v/>
      </c>
      <c r="DG39" t="str">
        <f>""</f>
        <v/>
      </c>
      <c r="DH39" t="str">
        <f>""</f>
        <v/>
      </c>
      <c r="DI39" t="str">
        <f>""</f>
        <v/>
      </c>
      <c r="DJ39" t="str">
        <f>""</f>
        <v/>
      </c>
      <c r="DK39" t="str">
        <f>""</f>
        <v/>
      </c>
      <c r="DL39" t="str">
        <f>""</f>
        <v/>
      </c>
      <c r="DM39" t="str">
        <f>""</f>
        <v/>
      </c>
      <c r="DN39" t="str">
        <f>""</f>
        <v/>
      </c>
      <c r="DO39" t="str">
        <f>""</f>
        <v/>
      </c>
      <c r="DP39" t="str">
        <f>""</f>
        <v/>
      </c>
      <c r="DQ39" t="str">
        <f>""</f>
        <v/>
      </c>
      <c r="DR39" t="str">
        <f>""</f>
        <v/>
      </c>
      <c r="DS39" t="str">
        <f>""</f>
        <v/>
      </c>
      <c r="DT39" t="str">
        <f>""</f>
        <v/>
      </c>
      <c r="DU39" t="str">
        <f>""</f>
        <v/>
      </c>
    </row>
    <row r="40" spans="1:125">
      <c r="A40" t="str">
        <f>""</f>
        <v/>
      </c>
      <c r="B40" t="str">
        <f>""</f>
        <v/>
      </c>
      <c r="C40" t="str">
        <f>""</f>
        <v/>
      </c>
      <c r="D40" t="str">
        <f>""</f>
        <v/>
      </c>
      <c r="E40" t="str">
        <f>""</f>
        <v/>
      </c>
      <c r="BN40" t="str">
        <f>""</f>
        <v/>
      </c>
      <c r="BO40" t="str">
        <f>""</f>
        <v/>
      </c>
      <c r="BP40" t="str">
        <f>""</f>
        <v/>
      </c>
      <c r="BQ40" t="str">
        <f>""</f>
        <v/>
      </c>
      <c r="BR40" t="str">
        <f>""</f>
        <v/>
      </c>
      <c r="BS40" t="str">
        <f>""</f>
        <v/>
      </c>
      <c r="BT40" t="str">
        <f>""</f>
        <v/>
      </c>
      <c r="BU40" t="str">
        <f>""</f>
        <v/>
      </c>
      <c r="BV40" t="str">
        <f>""</f>
        <v/>
      </c>
      <c r="BW40" t="str">
        <f>""</f>
        <v/>
      </c>
      <c r="BX40" t="str">
        <f>""</f>
        <v/>
      </c>
      <c r="BY40" t="str">
        <f>""</f>
        <v/>
      </c>
      <c r="BZ40" t="str">
        <f>""</f>
        <v/>
      </c>
      <c r="CA40" t="str">
        <f>""</f>
        <v/>
      </c>
      <c r="CB40" t="str">
        <f>""</f>
        <v/>
      </c>
      <c r="CC40" t="str">
        <f>""</f>
        <v/>
      </c>
      <c r="CD40" t="str">
        <f>""</f>
        <v/>
      </c>
      <c r="CE40" t="str">
        <f>""</f>
        <v/>
      </c>
      <c r="CF40" t="str">
        <f>""</f>
        <v/>
      </c>
      <c r="CG40" t="str">
        <f>""</f>
        <v/>
      </c>
      <c r="CH40" t="str">
        <f>""</f>
        <v/>
      </c>
      <c r="CI40" t="str">
        <f>""</f>
        <v/>
      </c>
      <c r="CJ40" t="str">
        <f>""</f>
        <v/>
      </c>
      <c r="CK40" t="str">
        <f>""</f>
        <v/>
      </c>
      <c r="CL40" t="str">
        <f>""</f>
        <v/>
      </c>
      <c r="CM40" t="str">
        <f>""</f>
        <v/>
      </c>
      <c r="CN40" t="str">
        <f>""</f>
        <v/>
      </c>
      <c r="CO40" t="str">
        <f>""</f>
        <v/>
      </c>
      <c r="CP40" t="str">
        <f>""</f>
        <v/>
      </c>
      <c r="CQ40" t="str">
        <f>""</f>
        <v/>
      </c>
      <c r="CR40" t="str">
        <f>""</f>
        <v/>
      </c>
      <c r="CS40" t="str">
        <f>""</f>
        <v/>
      </c>
      <c r="CT40" t="str">
        <f>""</f>
        <v/>
      </c>
      <c r="CU40" t="str">
        <f>""</f>
        <v/>
      </c>
      <c r="CV40" t="str">
        <f>""</f>
        <v/>
      </c>
      <c r="CW40" t="str">
        <f>""</f>
        <v/>
      </c>
      <c r="CX40" t="str">
        <f>""</f>
        <v/>
      </c>
      <c r="CY40" t="str">
        <f>""</f>
        <v/>
      </c>
      <c r="CZ40" t="str">
        <f>""</f>
        <v/>
      </c>
      <c r="DA40" t="str">
        <f>""</f>
        <v/>
      </c>
      <c r="DB40" t="str">
        <f>""</f>
        <v/>
      </c>
      <c r="DC40" t="str">
        <f>""</f>
        <v/>
      </c>
      <c r="DD40" t="str">
        <f>""</f>
        <v/>
      </c>
      <c r="DE40" t="str">
        <f>""</f>
        <v/>
      </c>
      <c r="DF40" t="str">
        <f>""</f>
        <v/>
      </c>
      <c r="DG40" t="str">
        <f>""</f>
        <v/>
      </c>
      <c r="DH40" t="str">
        <f>""</f>
        <v/>
      </c>
      <c r="DI40" t="str">
        <f>""</f>
        <v/>
      </c>
      <c r="DJ40" t="str">
        <f>""</f>
        <v/>
      </c>
      <c r="DK40" t="str">
        <f>""</f>
        <v/>
      </c>
      <c r="DL40" t="str">
        <f>""</f>
        <v/>
      </c>
      <c r="DM40" t="str">
        <f>""</f>
        <v/>
      </c>
      <c r="DN40" t="str">
        <f>""</f>
        <v/>
      </c>
      <c r="DO40" t="str">
        <f>""</f>
        <v/>
      </c>
      <c r="DP40" t="str">
        <f>""</f>
        <v/>
      </c>
      <c r="DQ40" t="str">
        <f>""</f>
        <v/>
      </c>
      <c r="DR40" t="str">
        <f>""</f>
        <v/>
      </c>
      <c r="DS40" t="str">
        <f>""</f>
        <v/>
      </c>
      <c r="DT40" t="str">
        <f>""</f>
        <v/>
      </c>
      <c r="DU40" t="str">
        <f>""</f>
        <v/>
      </c>
    </row>
    <row r="41" spans="1:125">
      <c r="A41" t="str">
        <f>""</f>
        <v/>
      </c>
      <c r="B41" t="str">
        <f>""</f>
        <v/>
      </c>
      <c r="C41" t="str">
        <f>""</f>
        <v/>
      </c>
      <c r="D41" t="str">
        <f>""</f>
        <v/>
      </c>
      <c r="E41" t="str">
        <f>""</f>
        <v/>
      </c>
      <c r="BN41" t="str">
        <f>""</f>
        <v/>
      </c>
      <c r="BO41" t="str">
        <f>""</f>
        <v/>
      </c>
      <c r="BP41" t="str">
        <f>""</f>
        <v/>
      </c>
      <c r="BQ41" t="str">
        <f>""</f>
        <v/>
      </c>
      <c r="BR41" t="str">
        <f>""</f>
        <v/>
      </c>
      <c r="BS41" t="str">
        <f>""</f>
        <v/>
      </c>
      <c r="BT41" t="str">
        <f>""</f>
        <v/>
      </c>
      <c r="BU41" t="str">
        <f>""</f>
        <v/>
      </c>
      <c r="BV41" t="str">
        <f>""</f>
        <v/>
      </c>
      <c r="BW41" t="str">
        <f>""</f>
        <v/>
      </c>
      <c r="BX41" t="str">
        <f>""</f>
        <v/>
      </c>
      <c r="BY41" t="str">
        <f>""</f>
        <v/>
      </c>
      <c r="BZ41" t="str">
        <f>""</f>
        <v/>
      </c>
      <c r="CA41" t="str">
        <f>""</f>
        <v/>
      </c>
      <c r="CB41" t="str">
        <f>""</f>
        <v/>
      </c>
      <c r="CC41" t="str">
        <f>""</f>
        <v/>
      </c>
      <c r="CD41" t="str">
        <f>""</f>
        <v/>
      </c>
      <c r="CE41" t="str">
        <f>""</f>
        <v/>
      </c>
      <c r="CF41" t="str">
        <f>""</f>
        <v/>
      </c>
      <c r="CG41" t="str">
        <f>""</f>
        <v/>
      </c>
      <c r="CH41" t="str">
        <f>""</f>
        <v/>
      </c>
      <c r="CI41" t="str">
        <f>""</f>
        <v/>
      </c>
      <c r="CJ41" t="str">
        <f>""</f>
        <v/>
      </c>
      <c r="CK41" t="str">
        <f>""</f>
        <v/>
      </c>
      <c r="CL41" t="str">
        <f>""</f>
        <v/>
      </c>
      <c r="CM41" t="str">
        <f>""</f>
        <v/>
      </c>
      <c r="CN41" t="str">
        <f>""</f>
        <v/>
      </c>
      <c r="CO41" t="str">
        <f>""</f>
        <v/>
      </c>
      <c r="CP41" t="str">
        <f>""</f>
        <v/>
      </c>
      <c r="CQ41" t="str">
        <f>""</f>
        <v/>
      </c>
      <c r="CR41" t="str">
        <f>""</f>
        <v/>
      </c>
      <c r="CS41" t="str">
        <f>""</f>
        <v/>
      </c>
      <c r="CT41" t="str">
        <f>""</f>
        <v/>
      </c>
      <c r="CU41" t="str">
        <f>""</f>
        <v/>
      </c>
      <c r="CV41" t="str">
        <f>""</f>
        <v/>
      </c>
      <c r="CW41" t="str">
        <f>""</f>
        <v/>
      </c>
      <c r="CX41" t="str">
        <f>""</f>
        <v/>
      </c>
      <c r="CY41" t="str">
        <f>""</f>
        <v/>
      </c>
      <c r="CZ41" t="str">
        <f>""</f>
        <v/>
      </c>
      <c r="DA41" t="str">
        <f>""</f>
        <v/>
      </c>
      <c r="DB41" t="str">
        <f>""</f>
        <v/>
      </c>
      <c r="DC41" t="str">
        <f>""</f>
        <v/>
      </c>
      <c r="DD41" t="str">
        <f>""</f>
        <v/>
      </c>
      <c r="DE41" t="str">
        <f>""</f>
        <v/>
      </c>
      <c r="DF41" t="str">
        <f>""</f>
        <v/>
      </c>
      <c r="DG41" t="str">
        <f>""</f>
        <v/>
      </c>
      <c r="DH41" t="str">
        <f>""</f>
        <v/>
      </c>
      <c r="DI41" t="str">
        <f>""</f>
        <v/>
      </c>
      <c r="DJ41" t="str">
        <f>""</f>
        <v/>
      </c>
      <c r="DK41" t="str">
        <f>""</f>
        <v/>
      </c>
      <c r="DL41" t="str">
        <f>""</f>
        <v/>
      </c>
      <c r="DM41" t="str">
        <f>""</f>
        <v/>
      </c>
      <c r="DN41" t="str">
        <f>""</f>
        <v/>
      </c>
      <c r="DO41" t="str">
        <f>""</f>
        <v/>
      </c>
      <c r="DP41" t="str">
        <f>""</f>
        <v/>
      </c>
      <c r="DQ41" t="str">
        <f>""</f>
        <v/>
      </c>
      <c r="DR41" t="str">
        <f>""</f>
        <v/>
      </c>
      <c r="DS41" t="str">
        <f>""</f>
        <v/>
      </c>
      <c r="DT41" t="str">
        <f>""</f>
        <v/>
      </c>
      <c r="DU41" t="str">
        <f>""</f>
        <v/>
      </c>
    </row>
    <row r="42" spans="1:125">
      <c r="A42" t="str">
        <f>""</f>
        <v/>
      </c>
      <c r="B42" t="str">
        <f>""</f>
        <v/>
      </c>
      <c r="C42" t="str">
        <f>""</f>
        <v/>
      </c>
      <c r="D42" t="str">
        <f>""</f>
        <v/>
      </c>
      <c r="E42" t="str">
        <f>""</f>
        <v/>
      </c>
      <c r="BN42" t="str">
        <f>""</f>
        <v/>
      </c>
      <c r="BO42" t="str">
        <f>""</f>
        <v/>
      </c>
      <c r="BP42" t="str">
        <f>""</f>
        <v/>
      </c>
      <c r="BQ42" t="str">
        <f>""</f>
        <v/>
      </c>
      <c r="BR42" t="str">
        <f>""</f>
        <v/>
      </c>
      <c r="BS42" t="str">
        <f>""</f>
        <v/>
      </c>
      <c r="BT42" t="str">
        <f>""</f>
        <v/>
      </c>
      <c r="BU42" t="str">
        <f>""</f>
        <v/>
      </c>
      <c r="BV42" t="str">
        <f>""</f>
        <v/>
      </c>
      <c r="BW42" t="str">
        <f>""</f>
        <v/>
      </c>
      <c r="BX42" t="str">
        <f>""</f>
        <v/>
      </c>
      <c r="BY42" t="str">
        <f>""</f>
        <v/>
      </c>
      <c r="BZ42" t="str">
        <f>""</f>
        <v/>
      </c>
      <c r="CA42" t="str">
        <f>""</f>
        <v/>
      </c>
      <c r="CB42" t="str">
        <f>""</f>
        <v/>
      </c>
      <c r="CC42" t="str">
        <f>""</f>
        <v/>
      </c>
      <c r="CD42" t="str">
        <f>""</f>
        <v/>
      </c>
      <c r="CE42" t="str">
        <f>""</f>
        <v/>
      </c>
      <c r="CF42" t="str">
        <f>""</f>
        <v/>
      </c>
      <c r="CG42" t="str">
        <f>""</f>
        <v/>
      </c>
      <c r="CH42" t="str">
        <f>""</f>
        <v/>
      </c>
      <c r="CI42" t="str">
        <f>""</f>
        <v/>
      </c>
      <c r="CJ42" t="str">
        <f>""</f>
        <v/>
      </c>
      <c r="CK42" t="str">
        <f>""</f>
        <v/>
      </c>
      <c r="CL42" t="str">
        <f>""</f>
        <v/>
      </c>
      <c r="CM42" t="str">
        <f>""</f>
        <v/>
      </c>
      <c r="CN42" t="str">
        <f>""</f>
        <v/>
      </c>
      <c r="CO42" t="str">
        <f>""</f>
        <v/>
      </c>
      <c r="CP42" t="str">
        <f>""</f>
        <v/>
      </c>
      <c r="CQ42" t="str">
        <f>""</f>
        <v/>
      </c>
      <c r="CR42" t="str">
        <f>""</f>
        <v/>
      </c>
      <c r="CS42" t="str">
        <f>""</f>
        <v/>
      </c>
      <c r="CT42" t="str">
        <f>""</f>
        <v/>
      </c>
      <c r="CU42" t="str">
        <f>""</f>
        <v/>
      </c>
      <c r="CV42" t="str">
        <f>""</f>
        <v/>
      </c>
      <c r="CW42" t="str">
        <f>""</f>
        <v/>
      </c>
      <c r="CX42" t="str">
        <f>""</f>
        <v/>
      </c>
      <c r="CY42" t="str">
        <f>""</f>
        <v/>
      </c>
      <c r="CZ42" t="str">
        <f>""</f>
        <v/>
      </c>
      <c r="DA42" t="str">
        <f>""</f>
        <v/>
      </c>
      <c r="DB42" t="str">
        <f>""</f>
        <v/>
      </c>
      <c r="DC42" t="str">
        <f>""</f>
        <v/>
      </c>
      <c r="DD42" t="str">
        <f>""</f>
        <v/>
      </c>
      <c r="DE42" t="str">
        <f>""</f>
        <v/>
      </c>
      <c r="DF42" t="str">
        <f>""</f>
        <v/>
      </c>
      <c r="DG42" t="str">
        <f>""</f>
        <v/>
      </c>
      <c r="DH42" t="str">
        <f>""</f>
        <v/>
      </c>
      <c r="DI42" t="str">
        <f>""</f>
        <v/>
      </c>
      <c r="DJ42" t="str">
        <f>""</f>
        <v/>
      </c>
      <c r="DK42" t="str">
        <f>""</f>
        <v/>
      </c>
      <c r="DL42" t="str">
        <f>""</f>
        <v/>
      </c>
      <c r="DM42" t="str">
        <f>""</f>
        <v/>
      </c>
      <c r="DN42" t="str">
        <f>""</f>
        <v/>
      </c>
      <c r="DO42" t="str">
        <f>""</f>
        <v/>
      </c>
      <c r="DP42" t="str">
        <f>""</f>
        <v/>
      </c>
      <c r="DQ42" t="str">
        <f>""</f>
        <v/>
      </c>
      <c r="DR42" t="str">
        <f>""</f>
        <v/>
      </c>
      <c r="DS42" t="str">
        <f>""</f>
        <v/>
      </c>
      <c r="DT42" t="str">
        <f>""</f>
        <v/>
      </c>
      <c r="DU42" t="str">
        <f>""</f>
        <v/>
      </c>
    </row>
    <row r="43" spans="1:125">
      <c r="A43" t="str">
        <f>""</f>
        <v/>
      </c>
      <c r="B43" t="str">
        <f>""</f>
        <v/>
      </c>
      <c r="C43" t="str">
        <f>""</f>
        <v/>
      </c>
      <c r="D43" t="str">
        <f>""</f>
        <v/>
      </c>
      <c r="E43" t="str">
        <f>""</f>
        <v/>
      </c>
      <c r="BN43" t="str">
        <f>""</f>
        <v/>
      </c>
      <c r="BO43" t="str">
        <f>""</f>
        <v/>
      </c>
      <c r="BP43" t="str">
        <f>""</f>
        <v/>
      </c>
      <c r="BQ43" t="str">
        <f>""</f>
        <v/>
      </c>
      <c r="BR43" t="str">
        <f>""</f>
        <v/>
      </c>
      <c r="BS43" t="str">
        <f>""</f>
        <v/>
      </c>
      <c r="BT43" t="str">
        <f>""</f>
        <v/>
      </c>
      <c r="BU43" t="str">
        <f>""</f>
        <v/>
      </c>
      <c r="BV43" t="str">
        <f>""</f>
        <v/>
      </c>
      <c r="BW43" t="str">
        <f>""</f>
        <v/>
      </c>
      <c r="BX43" t="str">
        <f>""</f>
        <v/>
      </c>
      <c r="BY43" t="str">
        <f>""</f>
        <v/>
      </c>
      <c r="BZ43" t="str">
        <f>""</f>
        <v/>
      </c>
      <c r="CA43" t="str">
        <f>""</f>
        <v/>
      </c>
      <c r="CB43" t="str">
        <f>""</f>
        <v/>
      </c>
      <c r="CC43" t="str">
        <f>""</f>
        <v/>
      </c>
      <c r="CD43" t="str">
        <f>""</f>
        <v/>
      </c>
      <c r="CE43" t="str">
        <f>""</f>
        <v/>
      </c>
      <c r="CF43" t="str">
        <f>""</f>
        <v/>
      </c>
      <c r="CG43" t="str">
        <f>""</f>
        <v/>
      </c>
      <c r="CH43" t="str">
        <f>""</f>
        <v/>
      </c>
      <c r="CI43" t="str">
        <f>""</f>
        <v/>
      </c>
      <c r="CJ43" t="str">
        <f>""</f>
        <v/>
      </c>
      <c r="CK43" t="str">
        <f>""</f>
        <v/>
      </c>
      <c r="CL43" t="str">
        <f>""</f>
        <v/>
      </c>
      <c r="CM43" t="str">
        <f>""</f>
        <v/>
      </c>
      <c r="CN43" t="str">
        <f>""</f>
        <v/>
      </c>
      <c r="CO43" t="str">
        <f>""</f>
        <v/>
      </c>
      <c r="CP43" t="str">
        <f>""</f>
        <v/>
      </c>
      <c r="CQ43" t="str">
        <f>""</f>
        <v/>
      </c>
      <c r="CR43" t="str">
        <f>""</f>
        <v/>
      </c>
      <c r="CS43" t="str">
        <f>""</f>
        <v/>
      </c>
      <c r="CT43" t="str">
        <f>""</f>
        <v/>
      </c>
      <c r="CU43" t="str">
        <f>""</f>
        <v/>
      </c>
      <c r="CV43" t="str">
        <f>""</f>
        <v/>
      </c>
      <c r="CW43" t="str">
        <f>""</f>
        <v/>
      </c>
      <c r="CX43" t="str">
        <f>""</f>
        <v/>
      </c>
      <c r="CY43" t="str">
        <f>""</f>
        <v/>
      </c>
      <c r="CZ43" t="str">
        <f>""</f>
        <v/>
      </c>
      <c r="DA43" t="str">
        <f>""</f>
        <v/>
      </c>
      <c r="DB43" t="str">
        <f>""</f>
        <v/>
      </c>
      <c r="DC43" t="str">
        <f>""</f>
        <v/>
      </c>
      <c r="DD43" t="str">
        <f>""</f>
        <v/>
      </c>
      <c r="DE43" t="str">
        <f>""</f>
        <v/>
      </c>
      <c r="DF43" t="str">
        <f>""</f>
        <v/>
      </c>
      <c r="DG43" t="str">
        <f>""</f>
        <v/>
      </c>
      <c r="DH43" t="str">
        <f>""</f>
        <v/>
      </c>
      <c r="DI43" t="str">
        <f>""</f>
        <v/>
      </c>
      <c r="DJ43" t="str">
        <f>""</f>
        <v/>
      </c>
      <c r="DK43" t="str">
        <f>""</f>
        <v/>
      </c>
      <c r="DL43" t="str">
        <f>""</f>
        <v/>
      </c>
      <c r="DM43" t="str">
        <f>""</f>
        <v/>
      </c>
      <c r="DN43" t="str">
        <f>""</f>
        <v/>
      </c>
      <c r="DO43" t="str">
        <f>""</f>
        <v/>
      </c>
      <c r="DP43" t="str">
        <f>""</f>
        <v/>
      </c>
      <c r="DQ43" t="str">
        <f>""</f>
        <v/>
      </c>
      <c r="DR43" t="str">
        <f>""</f>
        <v/>
      </c>
      <c r="DS43" t="str">
        <f>""</f>
        <v/>
      </c>
      <c r="DT43" t="str">
        <f>""</f>
        <v/>
      </c>
      <c r="DU43" t="str">
        <f>""</f>
        <v/>
      </c>
    </row>
    <row r="44" spans="1:125">
      <c r="A44" t="str">
        <f>"~~~~~~~~~~~~~~~~~~~~~"</f>
        <v>~~~~~~~~~~~~~~~~~~~~~</v>
      </c>
      <c r="B44" t="str">
        <f>"~~~~~~~~~~~~~~~~~~~~~"</f>
        <v>~~~~~~~~~~~~~~~~~~~~~</v>
      </c>
      <c r="C44" t="str">
        <f>"~~~~~~~~~~~~~~~~~~~~~"</f>
        <v>~~~~~~~~~~~~~~~~~~~~~</v>
      </c>
      <c r="D44" t="str">
        <f>"~~~~~~~~~~~~~~~~~~~~~"</f>
        <v>~~~~~~~~~~~~~~~~~~~~~</v>
      </c>
      <c r="E44" t="str">
        <f>"~~~~~~~~~~~~~~~~~~~~~"</f>
        <v>~~~~~~~~~~~~~~~~~~~~~</v>
      </c>
      <c r="BN44" t="str">
        <f>""</f>
        <v/>
      </c>
      <c r="BO44" t="str">
        <f>""</f>
        <v/>
      </c>
      <c r="BP44" t="str">
        <f>""</f>
        <v/>
      </c>
      <c r="BQ44" t="str">
        <f>""</f>
        <v/>
      </c>
      <c r="BR44" t="str">
        <f>""</f>
        <v/>
      </c>
      <c r="BS44" t="str">
        <f>""</f>
        <v/>
      </c>
      <c r="BT44" t="str">
        <f>""</f>
        <v/>
      </c>
      <c r="BU44" t="str">
        <f>""</f>
        <v/>
      </c>
      <c r="BV44" t="str">
        <f>""</f>
        <v/>
      </c>
      <c r="BW44" t="str">
        <f>""</f>
        <v/>
      </c>
      <c r="BX44" t="str">
        <f>""</f>
        <v/>
      </c>
      <c r="BY44" t="str">
        <f>""</f>
        <v/>
      </c>
      <c r="BZ44" t="str">
        <f>""</f>
        <v/>
      </c>
      <c r="CA44" t="str">
        <f>""</f>
        <v/>
      </c>
      <c r="CB44" t="str">
        <f>""</f>
        <v/>
      </c>
      <c r="CC44" t="str">
        <f>""</f>
        <v/>
      </c>
      <c r="CD44" t="str">
        <f>""</f>
        <v/>
      </c>
      <c r="CE44" t="str">
        <f>""</f>
        <v/>
      </c>
      <c r="CF44" t="str">
        <f>""</f>
        <v/>
      </c>
      <c r="CG44" t="str">
        <f>""</f>
        <v/>
      </c>
      <c r="CH44" t="str">
        <f>""</f>
        <v/>
      </c>
      <c r="CI44" t="str">
        <f>""</f>
        <v/>
      </c>
      <c r="CJ44" t="str">
        <f>""</f>
        <v/>
      </c>
      <c r="CK44" t="str">
        <f>""</f>
        <v/>
      </c>
      <c r="CL44" t="str">
        <f>""</f>
        <v/>
      </c>
      <c r="CM44" t="str">
        <f>""</f>
        <v/>
      </c>
      <c r="CN44" t="str">
        <f>""</f>
        <v/>
      </c>
      <c r="CO44" t="str">
        <f>""</f>
        <v/>
      </c>
      <c r="CP44" t="str">
        <f>""</f>
        <v/>
      </c>
      <c r="CQ44" t="str">
        <f>""</f>
        <v/>
      </c>
      <c r="CR44" t="str">
        <f>""</f>
        <v/>
      </c>
      <c r="CS44" t="str">
        <f>""</f>
        <v/>
      </c>
      <c r="CT44" t="str">
        <f>""</f>
        <v/>
      </c>
      <c r="CU44" t="str">
        <f>""</f>
        <v/>
      </c>
      <c r="CV44" t="str">
        <f>""</f>
        <v/>
      </c>
      <c r="CW44" t="str">
        <f>""</f>
        <v/>
      </c>
      <c r="CX44" t="str">
        <f>""</f>
        <v/>
      </c>
      <c r="CY44" t="str">
        <f>""</f>
        <v/>
      </c>
      <c r="CZ44" t="str">
        <f>""</f>
        <v/>
      </c>
      <c r="DA44" t="str">
        <f>""</f>
        <v/>
      </c>
      <c r="DB44" t="str">
        <f>""</f>
        <v/>
      </c>
      <c r="DC44" t="str">
        <f>""</f>
        <v/>
      </c>
      <c r="DD44" t="str">
        <f>""</f>
        <v/>
      </c>
      <c r="DE44" t="str">
        <f>""</f>
        <v/>
      </c>
      <c r="DF44" t="str">
        <f>""</f>
        <v/>
      </c>
      <c r="DG44" t="str">
        <f>""</f>
        <v/>
      </c>
      <c r="DH44" t="str">
        <f>""</f>
        <v/>
      </c>
      <c r="DI44" t="str">
        <f>""</f>
        <v/>
      </c>
      <c r="DJ44" t="str">
        <f>""</f>
        <v/>
      </c>
      <c r="DK44" t="str">
        <f>""</f>
        <v/>
      </c>
      <c r="DL44" t="str">
        <f>""</f>
        <v/>
      </c>
      <c r="DM44" t="str">
        <f>""</f>
        <v/>
      </c>
      <c r="DN44" t="str">
        <f>""</f>
        <v/>
      </c>
      <c r="DO44" t="str">
        <f>""</f>
        <v/>
      </c>
      <c r="DP44" t="str">
        <f>""</f>
        <v/>
      </c>
      <c r="DQ44" t="str">
        <f>""</f>
        <v/>
      </c>
      <c r="DR44" t="str">
        <f>""</f>
        <v/>
      </c>
      <c r="DS44" t="str">
        <f>""</f>
        <v/>
      </c>
      <c r="DT44" t="str">
        <f>""</f>
        <v/>
      </c>
      <c r="DU44" t="str">
        <f>""</f>
        <v/>
      </c>
    </row>
    <row r="45" spans="1:125">
      <c r="A45" t="str">
        <f>"Rows below for column date calculation"</f>
        <v>Rows below for column date calculation</v>
      </c>
      <c r="BN45" t="str">
        <f>""</f>
        <v/>
      </c>
      <c r="BO45" t="str">
        <f>""</f>
        <v/>
      </c>
      <c r="BP45" t="str">
        <f>""</f>
        <v/>
      </c>
      <c r="BQ45" t="str">
        <f>""</f>
        <v/>
      </c>
      <c r="BR45" t="str">
        <f>""</f>
        <v/>
      </c>
      <c r="BS45" t="str">
        <f>""</f>
        <v/>
      </c>
      <c r="BT45" t="str">
        <f>""</f>
        <v/>
      </c>
      <c r="BU45" t="str">
        <f>""</f>
        <v/>
      </c>
      <c r="BV45" t="str">
        <f>""</f>
        <v/>
      </c>
      <c r="BW45" t="str">
        <f>""</f>
        <v/>
      </c>
      <c r="BX45" t="str">
        <f>""</f>
        <v/>
      </c>
      <c r="BY45" t="str">
        <f>""</f>
        <v/>
      </c>
      <c r="BZ45" t="str">
        <f>""</f>
        <v/>
      </c>
      <c r="CA45" t="str">
        <f>""</f>
        <v/>
      </c>
      <c r="CB45" t="str">
        <f>""</f>
        <v/>
      </c>
      <c r="CC45" t="str">
        <f>""</f>
        <v/>
      </c>
      <c r="CD45" t="str">
        <f>""</f>
        <v/>
      </c>
      <c r="CE45" t="str">
        <f>""</f>
        <v/>
      </c>
      <c r="CF45" t="str">
        <f>""</f>
        <v/>
      </c>
      <c r="CG45" t="str">
        <f>""</f>
        <v/>
      </c>
      <c r="CH45" t="str">
        <f>""</f>
        <v/>
      </c>
      <c r="CI45" t="str">
        <f>""</f>
        <v/>
      </c>
      <c r="CJ45" t="str">
        <f>""</f>
        <v/>
      </c>
      <c r="CK45" t="str">
        <f>""</f>
        <v/>
      </c>
      <c r="CL45" t="str">
        <f>""</f>
        <v/>
      </c>
      <c r="CM45" t="str">
        <f>""</f>
        <v/>
      </c>
      <c r="CN45" t="str">
        <f>""</f>
        <v/>
      </c>
      <c r="CO45" t="str">
        <f>""</f>
        <v/>
      </c>
      <c r="CP45" t="str">
        <f>""</f>
        <v/>
      </c>
      <c r="CQ45" t="str">
        <f>""</f>
        <v/>
      </c>
      <c r="CR45" t="str">
        <f>""</f>
        <v/>
      </c>
      <c r="CS45" t="str">
        <f>""</f>
        <v/>
      </c>
      <c r="CT45" t="str">
        <f>""</f>
        <v/>
      </c>
      <c r="CU45" t="str">
        <f>""</f>
        <v/>
      </c>
      <c r="CV45" t="str">
        <f>""</f>
        <v/>
      </c>
      <c r="CW45" t="str">
        <f>""</f>
        <v/>
      </c>
      <c r="CX45" t="str">
        <f>""</f>
        <v/>
      </c>
      <c r="CY45" t="str">
        <f>""</f>
        <v/>
      </c>
      <c r="CZ45" t="str">
        <f>""</f>
        <v/>
      </c>
      <c r="DA45" t="str">
        <f>""</f>
        <v/>
      </c>
      <c r="DB45" t="str">
        <f>""</f>
        <v/>
      </c>
      <c r="DC45" t="str">
        <f>""</f>
        <v/>
      </c>
      <c r="DD45" t="str">
        <f>""</f>
        <v/>
      </c>
      <c r="DE45" t="str">
        <f>""</f>
        <v/>
      </c>
      <c r="DF45" t="str">
        <f>""</f>
        <v/>
      </c>
      <c r="DG45" t="str">
        <f>""</f>
        <v/>
      </c>
      <c r="DH45" t="str">
        <f>""</f>
        <v/>
      </c>
      <c r="DI45" t="str">
        <f>""</f>
        <v/>
      </c>
      <c r="DJ45" t="str">
        <f>""</f>
        <v/>
      </c>
      <c r="DK45" t="str">
        <f>""</f>
        <v/>
      </c>
      <c r="DL45" t="str">
        <f>""</f>
        <v/>
      </c>
      <c r="DM45" t="str">
        <f>""</f>
        <v/>
      </c>
      <c r="DN45" t="str">
        <f>""</f>
        <v/>
      </c>
      <c r="DO45" t="str">
        <f>""</f>
        <v/>
      </c>
      <c r="DP45" t="str">
        <f>""</f>
        <v/>
      </c>
      <c r="DQ45" t="str">
        <f>""</f>
        <v/>
      </c>
      <c r="DR45" t="str">
        <f>""</f>
        <v/>
      </c>
      <c r="DS45" t="str">
        <f>""</f>
        <v/>
      </c>
      <c r="DT45" t="str">
        <f>""</f>
        <v/>
      </c>
      <c r="DU45" t="str">
        <f>""</f>
        <v/>
      </c>
    </row>
    <row r="46" spans="1:125">
      <c r="A46" t="str">
        <f>"Downloaded at"</f>
        <v>Downloaded at</v>
      </c>
      <c r="B46">
        <f>DATE(2018, 3,13)</f>
        <v>43172</v>
      </c>
      <c r="C46" t="str">
        <f>""</f>
        <v/>
      </c>
      <c r="D46" t="str">
        <f>""</f>
        <v/>
      </c>
      <c r="E46" t="str">
        <f>""</f>
        <v/>
      </c>
      <c r="BN46" t="str">
        <f>""</f>
        <v/>
      </c>
      <c r="BO46" t="str">
        <f>""</f>
        <v/>
      </c>
      <c r="BP46" t="str">
        <f>""</f>
        <v/>
      </c>
      <c r="BQ46" t="str">
        <f>""</f>
        <v/>
      </c>
      <c r="BR46" t="str">
        <f>""</f>
        <v/>
      </c>
      <c r="BS46" t="str">
        <f>""</f>
        <v/>
      </c>
      <c r="BT46" t="str">
        <f>""</f>
        <v/>
      </c>
      <c r="BU46" t="str">
        <f>""</f>
        <v/>
      </c>
      <c r="BV46" t="str">
        <f>""</f>
        <v/>
      </c>
      <c r="BW46" t="str">
        <f>""</f>
        <v/>
      </c>
      <c r="BX46" t="str">
        <f>""</f>
        <v/>
      </c>
      <c r="BY46" t="str">
        <f>""</f>
        <v/>
      </c>
      <c r="BZ46" t="str">
        <f>""</f>
        <v/>
      </c>
      <c r="CA46" t="str">
        <f>""</f>
        <v/>
      </c>
      <c r="CB46" t="str">
        <f>""</f>
        <v/>
      </c>
      <c r="CC46" t="str">
        <f>""</f>
        <v/>
      </c>
      <c r="CD46" t="str">
        <f>""</f>
        <v/>
      </c>
      <c r="CE46" t="str">
        <f>""</f>
        <v/>
      </c>
      <c r="CF46" t="str">
        <f>""</f>
        <v/>
      </c>
      <c r="CG46" t="str">
        <f>""</f>
        <v/>
      </c>
      <c r="CH46" t="str">
        <f>""</f>
        <v/>
      </c>
      <c r="CI46" t="str">
        <f>""</f>
        <v/>
      </c>
      <c r="CJ46" t="str">
        <f>""</f>
        <v/>
      </c>
      <c r="CK46" t="str">
        <f>""</f>
        <v/>
      </c>
      <c r="CL46" t="str">
        <f>""</f>
        <v/>
      </c>
      <c r="CM46" t="str">
        <f>""</f>
        <v/>
      </c>
      <c r="CN46" t="str">
        <f>""</f>
        <v/>
      </c>
      <c r="CO46" t="str">
        <f>""</f>
        <v/>
      </c>
      <c r="CP46" t="str">
        <f>""</f>
        <v/>
      </c>
      <c r="CQ46" t="str">
        <f>""</f>
        <v/>
      </c>
      <c r="CR46" t="str">
        <f>""</f>
        <v/>
      </c>
      <c r="CS46" t="str">
        <f>""</f>
        <v/>
      </c>
      <c r="CT46" t="str">
        <f>""</f>
        <v/>
      </c>
      <c r="CU46" t="str">
        <f>""</f>
        <v/>
      </c>
      <c r="CV46" t="str">
        <f>""</f>
        <v/>
      </c>
      <c r="CW46" t="str">
        <f>""</f>
        <v/>
      </c>
      <c r="CX46" t="str">
        <f>""</f>
        <v/>
      </c>
      <c r="CY46" t="str">
        <f>""</f>
        <v/>
      </c>
      <c r="CZ46" t="str">
        <f>""</f>
        <v/>
      </c>
      <c r="DA46" t="str">
        <f>""</f>
        <v/>
      </c>
      <c r="DB46" t="str">
        <f>""</f>
        <v/>
      </c>
      <c r="DC46" t="str">
        <f>""</f>
        <v/>
      </c>
      <c r="DD46" t="str">
        <f>""</f>
        <v/>
      </c>
      <c r="DE46" t="str">
        <f>""</f>
        <v/>
      </c>
      <c r="DF46" t="str">
        <f>""</f>
        <v/>
      </c>
      <c r="DG46" t="str">
        <f>""</f>
        <v/>
      </c>
      <c r="DH46" t="str">
        <f>""</f>
        <v/>
      </c>
      <c r="DI46" t="str">
        <f>""</f>
        <v/>
      </c>
      <c r="DJ46" t="str">
        <f>""</f>
        <v/>
      </c>
      <c r="DK46" t="str">
        <f>""</f>
        <v/>
      </c>
      <c r="DL46" t="str">
        <f>""</f>
        <v/>
      </c>
      <c r="DM46" t="str">
        <f>""</f>
        <v/>
      </c>
      <c r="DN46" t="str">
        <f>""</f>
        <v/>
      </c>
      <c r="DO46" t="str">
        <f>""</f>
        <v/>
      </c>
      <c r="DP46" t="str">
        <f>""</f>
        <v/>
      </c>
      <c r="DQ46" t="str">
        <f>""</f>
        <v/>
      </c>
      <c r="DR46" t="str">
        <f>""</f>
        <v/>
      </c>
      <c r="DS46" t="str">
        <f>""</f>
        <v/>
      </c>
      <c r="DT46" t="str">
        <f>""</f>
        <v/>
      </c>
      <c r="DU46" t="str">
        <f>""</f>
        <v/>
      </c>
    </row>
    <row r="47" spans="1:125">
      <c r="A47" t="str">
        <f>"This is End Date"</f>
        <v>This is End Date</v>
      </c>
      <c r="B47">
        <f ca="1">$B$27</f>
        <v>43173</v>
      </c>
      <c r="C47" t="str">
        <f>""</f>
        <v/>
      </c>
      <c r="D47" t="str">
        <f>""</f>
        <v/>
      </c>
      <c r="E47" t="str">
        <f>""</f>
        <v/>
      </c>
      <c r="BN47" t="str">
        <f>""</f>
        <v/>
      </c>
      <c r="BO47" t="str">
        <f>""</f>
        <v/>
      </c>
      <c r="BP47" t="str">
        <f>""</f>
        <v/>
      </c>
      <c r="BQ47" t="str">
        <f>""</f>
        <v/>
      </c>
      <c r="BR47" t="str">
        <f>""</f>
        <v/>
      </c>
      <c r="BS47" t="str">
        <f>""</f>
        <v/>
      </c>
      <c r="BT47" t="str">
        <f>""</f>
        <v/>
      </c>
      <c r="BU47" t="str">
        <f>""</f>
        <v/>
      </c>
      <c r="BV47" t="str">
        <f>""</f>
        <v/>
      </c>
      <c r="BW47" t="str">
        <f>""</f>
        <v/>
      </c>
      <c r="BX47" t="str">
        <f>""</f>
        <v/>
      </c>
      <c r="BY47" t="str">
        <f>""</f>
        <v/>
      </c>
      <c r="BZ47" t="str">
        <f>""</f>
        <v/>
      </c>
      <c r="CA47" t="str">
        <f>""</f>
        <v/>
      </c>
      <c r="CB47" t="str">
        <f>""</f>
        <v/>
      </c>
      <c r="CC47" t="str">
        <f>""</f>
        <v/>
      </c>
      <c r="CD47" t="str">
        <f>""</f>
        <v/>
      </c>
      <c r="CE47" t="str">
        <f>""</f>
        <v/>
      </c>
      <c r="CF47" t="str">
        <f>""</f>
        <v/>
      </c>
      <c r="CG47" t="str">
        <f>""</f>
        <v/>
      </c>
      <c r="CH47" t="str">
        <f>""</f>
        <v/>
      </c>
      <c r="CI47" t="str">
        <f>""</f>
        <v/>
      </c>
      <c r="CJ47" t="str">
        <f>""</f>
        <v/>
      </c>
      <c r="CK47" t="str">
        <f>""</f>
        <v/>
      </c>
      <c r="CL47" t="str">
        <f>""</f>
        <v/>
      </c>
      <c r="CM47" t="str">
        <f>""</f>
        <v/>
      </c>
      <c r="CN47" t="str">
        <f>""</f>
        <v/>
      </c>
      <c r="CO47" t="str">
        <f>""</f>
        <v/>
      </c>
      <c r="CP47" t="str">
        <f>""</f>
        <v/>
      </c>
      <c r="CQ47" t="str">
        <f>""</f>
        <v/>
      </c>
      <c r="CR47" t="str">
        <f>""</f>
        <v/>
      </c>
      <c r="CS47" t="str">
        <f>""</f>
        <v/>
      </c>
      <c r="CT47" t="str">
        <f>""</f>
        <v/>
      </c>
      <c r="CU47" t="str">
        <f>""</f>
        <v/>
      </c>
      <c r="CV47" t="str">
        <f>""</f>
        <v/>
      </c>
      <c r="CW47" t="str">
        <f>""</f>
        <v/>
      </c>
      <c r="CX47" t="str">
        <f>""</f>
        <v/>
      </c>
      <c r="CY47" t="str">
        <f>""</f>
        <v/>
      </c>
      <c r="CZ47" t="str">
        <f>""</f>
        <v/>
      </c>
      <c r="DA47" t="str">
        <f>""</f>
        <v/>
      </c>
      <c r="DB47" t="str">
        <f>""</f>
        <v/>
      </c>
      <c r="DC47" t="str">
        <f>""</f>
        <v/>
      </c>
      <c r="DD47" t="str">
        <f>""</f>
        <v/>
      </c>
      <c r="DE47" t="str">
        <f>""</f>
        <v/>
      </c>
      <c r="DF47" t="str">
        <f>""</f>
        <v/>
      </c>
      <c r="DG47" t="str">
        <f>""</f>
        <v/>
      </c>
      <c r="DH47" t="str">
        <f>""</f>
        <v/>
      </c>
      <c r="DI47" t="str">
        <f>""</f>
        <v/>
      </c>
      <c r="DJ47" t="str">
        <f>""</f>
        <v/>
      </c>
      <c r="DK47" t="str">
        <f>""</f>
        <v/>
      </c>
      <c r="DL47" t="str">
        <f>""</f>
        <v/>
      </c>
      <c r="DM47" t="str">
        <f>""</f>
        <v/>
      </c>
      <c r="DN47" t="str">
        <f>""</f>
        <v/>
      </c>
      <c r="DO47" t="str">
        <f>""</f>
        <v/>
      </c>
      <c r="DP47" t="str">
        <f>""</f>
        <v/>
      </c>
      <c r="DQ47" t="str">
        <f>""</f>
        <v/>
      </c>
      <c r="DR47" t="str">
        <f>""</f>
        <v/>
      </c>
      <c r="DS47" t="str">
        <f>""</f>
        <v/>
      </c>
      <c r="DT47" t="str">
        <f>""</f>
        <v/>
      </c>
      <c r="DU47" t="str">
        <f>""</f>
        <v/>
      </c>
    </row>
    <row r="48" spans="1:125">
      <c r="A48" t="str">
        <f>"简述"</f>
        <v>简述</v>
      </c>
      <c r="B48" t="str">
        <f>"代码"</f>
        <v>代码</v>
      </c>
      <c r="C48" t="str">
        <f>"栏目ID"</f>
        <v>栏目ID</v>
      </c>
      <c r="D48" t="str">
        <f>"栏目助记符"</f>
        <v>栏目助记符</v>
      </c>
      <c r="E48" t="str">
        <f>"数据状态"</f>
        <v>数据状态</v>
      </c>
      <c r="BN48" t="str">
        <f>""</f>
        <v/>
      </c>
      <c r="BO48" t="str">
        <f>""</f>
        <v/>
      </c>
      <c r="BP48" t="str">
        <f>""</f>
        <v/>
      </c>
      <c r="BQ48" t="str">
        <f>""</f>
        <v/>
      </c>
      <c r="BR48" t="str">
        <f>""</f>
        <v/>
      </c>
      <c r="BS48" t="str">
        <f>""</f>
        <v/>
      </c>
      <c r="BT48" t="str">
        <f>""</f>
        <v/>
      </c>
      <c r="BU48" t="str">
        <f>""</f>
        <v/>
      </c>
      <c r="BV48" t="str">
        <f>""</f>
        <v/>
      </c>
      <c r="BW48" t="str">
        <f>""</f>
        <v/>
      </c>
      <c r="BX48" t="str">
        <f>""</f>
        <v/>
      </c>
      <c r="BY48" t="str">
        <f>""</f>
        <v/>
      </c>
      <c r="BZ48" t="str">
        <f>""</f>
        <v/>
      </c>
      <c r="CA48" t="str">
        <f>""</f>
        <v/>
      </c>
      <c r="CB48" t="str">
        <f>""</f>
        <v/>
      </c>
      <c r="CC48" t="str">
        <f>""</f>
        <v/>
      </c>
      <c r="CD48" t="str">
        <f>""</f>
        <v/>
      </c>
      <c r="CE48" t="str">
        <f>""</f>
        <v/>
      </c>
      <c r="CF48" t="str">
        <f>""</f>
        <v/>
      </c>
      <c r="CG48" t="str">
        <f>""</f>
        <v/>
      </c>
      <c r="CH48" t="str">
        <f>""</f>
        <v/>
      </c>
      <c r="CI48" t="str">
        <f>""</f>
        <v/>
      </c>
      <c r="CJ48" t="str">
        <f>""</f>
        <v/>
      </c>
      <c r="CK48" t="str">
        <f>""</f>
        <v/>
      </c>
      <c r="CL48" t="str">
        <f>""</f>
        <v/>
      </c>
      <c r="CM48" t="str">
        <f>""</f>
        <v/>
      </c>
      <c r="CN48" t="str">
        <f>""</f>
        <v/>
      </c>
      <c r="CO48" t="str">
        <f>""</f>
        <v/>
      </c>
      <c r="CP48" t="str">
        <f>""</f>
        <v/>
      </c>
      <c r="CQ48" t="str">
        <f>""</f>
        <v/>
      </c>
      <c r="CR48" t="str">
        <f>""</f>
        <v/>
      </c>
      <c r="CS48" t="str">
        <f>""</f>
        <v/>
      </c>
      <c r="CT48" t="str">
        <f>""</f>
        <v/>
      </c>
      <c r="CU48" t="str">
        <f>""</f>
        <v/>
      </c>
      <c r="CV48" t="str">
        <f>""</f>
        <v/>
      </c>
      <c r="CW48" t="str">
        <f>""</f>
        <v/>
      </c>
      <c r="CX48" t="str">
        <f>""</f>
        <v/>
      </c>
      <c r="CY48" t="str">
        <f>""</f>
        <v/>
      </c>
      <c r="CZ48" t="str">
        <f>""</f>
        <v/>
      </c>
      <c r="DA48" t="str">
        <f>""</f>
        <v/>
      </c>
      <c r="DB48" t="str">
        <f>""</f>
        <v/>
      </c>
      <c r="DC48" t="str">
        <f>""</f>
        <v/>
      </c>
      <c r="DD48" t="str">
        <f>""</f>
        <v/>
      </c>
      <c r="DE48" t="str">
        <f>""</f>
        <v/>
      </c>
      <c r="DF48" t="str">
        <f>""</f>
        <v/>
      </c>
      <c r="DG48" t="str">
        <f>""</f>
        <v/>
      </c>
      <c r="DH48" t="str">
        <f>""</f>
        <v/>
      </c>
      <c r="DI48" t="str">
        <f>""</f>
        <v/>
      </c>
      <c r="DJ48" t="str">
        <f>""</f>
        <v/>
      </c>
      <c r="DK48" t="str">
        <f>""</f>
        <v/>
      </c>
      <c r="DL48" t="str">
        <f>""</f>
        <v/>
      </c>
      <c r="DM48" t="str">
        <f>""</f>
        <v/>
      </c>
      <c r="DN48" t="str">
        <f>""</f>
        <v/>
      </c>
      <c r="DO48" t="str">
        <f>""</f>
        <v/>
      </c>
      <c r="DP48" t="str">
        <f>""</f>
        <v/>
      </c>
      <c r="DQ48" t="str">
        <f>""</f>
        <v/>
      </c>
      <c r="DR48" t="str">
        <f>""</f>
        <v/>
      </c>
      <c r="DS48" t="str">
        <f>""</f>
        <v/>
      </c>
      <c r="DT48" t="str">
        <f>""</f>
        <v/>
      </c>
      <c r="DU48" t="str">
        <f>""</f>
        <v/>
      </c>
    </row>
    <row r="49" spans="1:125">
      <c r="A49" t="str">
        <f>"Snapshot Date"</f>
        <v>Snapshot Date</v>
      </c>
      <c r="B49">
        <f>DATE(2018, 3,13)</f>
        <v>43172</v>
      </c>
      <c r="C49" t="str">
        <f>""</f>
        <v/>
      </c>
      <c r="D49" t="str">
        <f>""</f>
        <v/>
      </c>
      <c r="E49" t="str">
        <f>""</f>
        <v/>
      </c>
      <c r="BN49" t="str">
        <f>""</f>
        <v/>
      </c>
      <c r="BO49" t="str">
        <f>""</f>
        <v/>
      </c>
      <c r="BP49" t="str">
        <f>""</f>
        <v/>
      </c>
      <c r="BQ49" t="str">
        <f>""</f>
        <v/>
      </c>
      <c r="BR49" t="str">
        <f>""</f>
        <v/>
      </c>
      <c r="BS49" t="str">
        <f>""</f>
        <v/>
      </c>
      <c r="BT49" t="str">
        <f>""</f>
        <v/>
      </c>
      <c r="BU49" t="str">
        <f>""</f>
        <v/>
      </c>
      <c r="BV49" t="str">
        <f>""</f>
        <v/>
      </c>
      <c r="BW49" t="str">
        <f>""</f>
        <v/>
      </c>
      <c r="BX49" t="str">
        <f>""</f>
        <v/>
      </c>
      <c r="BY49" t="str">
        <f>""</f>
        <v/>
      </c>
      <c r="BZ49" t="str">
        <f>""</f>
        <v/>
      </c>
      <c r="CA49" t="str">
        <f>""</f>
        <v/>
      </c>
      <c r="CB49" t="str">
        <f>""</f>
        <v/>
      </c>
      <c r="CC49" t="str">
        <f>""</f>
        <v/>
      </c>
      <c r="CD49" t="str">
        <f>""</f>
        <v/>
      </c>
      <c r="CE49" t="str">
        <f>""</f>
        <v/>
      </c>
      <c r="CF49" t="str">
        <f>""</f>
        <v/>
      </c>
      <c r="CG49" t="str">
        <f>""</f>
        <v/>
      </c>
      <c r="CH49" t="str">
        <f>""</f>
        <v/>
      </c>
      <c r="CI49" t="str">
        <f>""</f>
        <v/>
      </c>
      <c r="CJ49" t="str">
        <f>""</f>
        <v/>
      </c>
      <c r="CK49" t="str">
        <f>""</f>
        <v/>
      </c>
      <c r="CL49" t="str">
        <f>""</f>
        <v/>
      </c>
      <c r="CM49" t="str">
        <f>""</f>
        <v/>
      </c>
      <c r="CN49" t="str">
        <f>""</f>
        <v/>
      </c>
      <c r="CO49" t="str">
        <f>""</f>
        <v/>
      </c>
      <c r="CP49" t="str">
        <f>""</f>
        <v/>
      </c>
      <c r="CQ49" t="str">
        <f>""</f>
        <v/>
      </c>
      <c r="CR49" t="str">
        <f>""</f>
        <v/>
      </c>
      <c r="CS49" t="str">
        <f>""</f>
        <v/>
      </c>
      <c r="CT49" t="str">
        <f>""</f>
        <v/>
      </c>
      <c r="CU49" t="str">
        <f>""</f>
        <v/>
      </c>
      <c r="CV49" t="str">
        <f>""</f>
        <v/>
      </c>
      <c r="CW49" t="str">
        <f>""</f>
        <v/>
      </c>
      <c r="CX49" t="str">
        <f>""</f>
        <v/>
      </c>
      <c r="CY49" t="str">
        <f>""</f>
        <v/>
      </c>
      <c r="CZ49" t="str">
        <f>""</f>
        <v/>
      </c>
      <c r="DA49" t="str">
        <f>""</f>
        <v/>
      </c>
      <c r="DB49" t="str">
        <f>""</f>
        <v/>
      </c>
      <c r="DC49" t="str">
        <f>""</f>
        <v/>
      </c>
      <c r="DD49" t="str">
        <f>""</f>
        <v/>
      </c>
      <c r="DE49" t="str">
        <f>""</f>
        <v/>
      </c>
      <c r="DF49" t="str">
        <f>""</f>
        <v/>
      </c>
      <c r="DG49" t="str">
        <f>""</f>
        <v/>
      </c>
      <c r="DH49" t="str">
        <f>""</f>
        <v/>
      </c>
      <c r="DI49" t="str">
        <f>""</f>
        <v/>
      </c>
      <c r="DJ49" t="str">
        <f>""</f>
        <v/>
      </c>
      <c r="DK49" t="str">
        <f>""</f>
        <v/>
      </c>
      <c r="DL49" t="str">
        <f>""</f>
        <v/>
      </c>
      <c r="DM49" t="str">
        <f>""</f>
        <v/>
      </c>
      <c r="DN49" t="str">
        <f>""</f>
        <v/>
      </c>
      <c r="DO49" t="str">
        <f>""</f>
        <v/>
      </c>
      <c r="DP49" t="str">
        <f>""</f>
        <v/>
      </c>
      <c r="DQ49" t="str">
        <f>""</f>
        <v/>
      </c>
      <c r="DR49" t="str">
        <f>""</f>
        <v/>
      </c>
      <c r="DS49" t="str">
        <f>""</f>
        <v/>
      </c>
      <c r="DT49" t="str">
        <f>""</f>
        <v/>
      </c>
      <c r="DU49" t="str">
        <f>""</f>
        <v/>
      </c>
    </row>
    <row r="50" spans="1:125">
      <c r="A50" t="str">
        <f>"Snapshot header"</f>
        <v>Snapshot header</v>
      </c>
      <c r="B50">
        <f>2</f>
        <v>2</v>
      </c>
      <c r="C50" t="str">
        <f>"2017 Q4"</f>
        <v>2017 Q4</v>
      </c>
      <c r="D50" t="str">
        <f>"2017 Q3"</f>
        <v>2017 Q3</v>
      </c>
      <c r="E50" t="str">
        <f>"2017 Q2"</f>
        <v>2017 Q2</v>
      </c>
      <c r="F50" t="str">
        <f>"2017 Q1"</f>
        <v>2017 Q1</v>
      </c>
      <c r="G50" t="str">
        <f>"2016 Q4"</f>
        <v>2016 Q4</v>
      </c>
      <c r="H50" t="str">
        <f>"2016 Q3"</f>
        <v>2016 Q3</v>
      </c>
      <c r="I50" t="str">
        <f>"2016 Q2"</f>
        <v>2016 Q2</v>
      </c>
      <c r="J50" t="str">
        <f>"2016 Q1"</f>
        <v>2016 Q1</v>
      </c>
      <c r="K50" t="str">
        <f>"2015 Q4"</f>
        <v>2015 Q4</v>
      </c>
      <c r="L50" t="str">
        <f>"2015 Q3"</f>
        <v>2015 Q3</v>
      </c>
      <c r="M50" t="str">
        <f>"2015 Q2"</f>
        <v>2015 Q2</v>
      </c>
      <c r="N50" t="str">
        <f>"2015 Q1"</f>
        <v>2015 Q1</v>
      </c>
      <c r="O50" t="str">
        <f>"2014 Q4"</f>
        <v>2014 Q4</v>
      </c>
      <c r="P50" t="str">
        <f>"2014 Q3"</f>
        <v>2014 Q3</v>
      </c>
      <c r="Q50" t="str">
        <f>"2014 Q2"</f>
        <v>2014 Q2</v>
      </c>
      <c r="R50" t="str">
        <f>"2014 Q1"</f>
        <v>2014 Q1</v>
      </c>
      <c r="S50" t="str">
        <f>"2013 Q4"</f>
        <v>2013 Q4</v>
      </c>
      <c r="T50" t="str">
        <f>"2013 Q3"</f>
        <v>2013 Q3</v>
      </c>
      <c r="U50" t="str">
        <f>"2013 Q2"</f>
        <v>2013 Q2</v>
      </c>
      <c r="V50" t="str">
        <f>"2013 Q1"</f>
        <v>2013 Q1</v>
      </c>
      <c r="W50" t="str">
        <f>"2012 Q4"</f>
        <v>2012 Q4</v>
      </c>
      <c r="X50" t="str">
        <f>"2012 Q3"</f>
        <v>2012 Q3</v>
      </c>
      <c r="Y50" t="str">
        <f>"2012 Q2"</f>
        <v>2012 Q2</v>
      </c>
      <c r="Z50" t="str">
        <f>"2012 Q1"</f>
        <v>2012 Q1</v>
      </c>
      <c r="AA50" t="str">
        <f>"2011 Q4"</f>
        <v>2011 Q4</v>
      </c>
      <c r="AB50" t="str">
        <f>"2011 Q3"</f>
        <v>2011 Q3</v>
      </c>
      <c r="AC50" t="str">
        <f>"2011 Q2"</f>
        <v>2011 Q2</v>
      </c>
      <c r="AD50" t="str">
        <f>"2011 Q1"</f>
        <v>2011 Q1</v>
      </c>
      <c r="AE50" t="str">
        <f>"2010 Q4"</f>
        <v>2010 Q4</v>
      </c>
      <c r="AF50" t="str">
        <f>"2010 Q3"</f>
        <v>2010 Q3</v>
      </c>
      <c r="AG50" t="str">
        <f>"2010 Q2"</f>
        <v>2010 Q2</v>
      </c>
      <c r="AH50" t="str">
        <f>"2010 Q1"</f>
        <v>2010 Q1</v>
      </c>
      <c r="AI50" t="str">
        <f>"2009 Q4"</f>
        <v>2009 Q4</v>
      </c>
      <c r="AJ50" t="str">
        <f>"2009 Q3"</f>
        <v>2009 Q3</v>
      </c>
      <c r="AK50" t="str">
        <f>"2009 Q2"</f>
        <v>2009 Q2</v>
      </c>
      <c r="AL50" t="str">
        <f>"2009 Q1"</f>
        <v>2009 Q1</v>
      </c>
      <c r="AM50" t="str">
        <f>"2008 Q4"</f>
        <v>2008 Q4</v>
      </c>
      <c r="AN50" t="str">
        <f>"2008 Q3"</f>
        <v>2008 Q3</v>
      </c>
      <c r="AO50" t="str">
        <f>"2008 Q2"</f>
        <v>2008 Q2</v>
      </c>
      <c r="AP50" t="str">
        <f>"2008 Q1"</f>
        <v>2008 Q1</v>
      </c>
      <c r="AQ50" t="str">
        <f>"2007 Q4"</f>
        <v>2007 Q4</v>
      </c>
      <c r="AR50" t="str">
        <f>"2007 Q3"</f>
        <v>2007 Q3</v>
      </c>
      <c r="AS50" t="str">
        <f>"2007 Q2"</f>
        <v>2007 Q2</v>
      </c>
      <c r="AT50" t="str">
        <f>"2007 Q1"</f>
        <v>2007 Q1</v>
      </c>
      <c r="AU50" t="str">
        <f>"2006 Q4"</f>
        <v>2006 Q4</v>
      </c>
      <c r="AV50" t="str">
        <f>"2006 Q3"</f>
        <v>2006 Q3</v>
      </c>
      <c r="AW50" t="str">
        <f>"2006 Q2"</f>
        <v>2006 Q2</v>
      </c>
      <c r="AX50" t="str">
        <f>"2006 Q1"</f>
        <v>2006 Q1</v>
      </c>
      <c r="AY50" t="str">
        <f>"2005 Q4"</f>
        <v>2005 Q4</v>
      </c>
      <c r="AZ50" t="str">
        <f>"2005 Q3"</f>
        <v>2005 Q3</v>
      </c>
      <c r="BA50" t="str">
        <f>"2005 Q2"</f>
        <v>2005 Q2</v>
      </c>
      <c r="BB50" t="str">
        <f>"2005 Q1"</f>
        <v>2005 Q1</v>
      </c>
      <c r="BC50" t="str">
        <f>"2004 Q4"</f>
        <v>2004 Q4</v>
      </c>
      <c r="BD50" t="str">
        <f>"2004 Q3"</f>
        <v>2004 Q3</v>
      </c>
      <c r="BE50" t="str">
        <f>"2004 Q2"</f>
        <v>2004 Q2</v>
      </c>
      <c r="BF50" t="str">
        <f>"2004 Q1"</f>
        <v>2004 Q1</v>
      </c>
      <c r="BG50" t="str">
        <f>"2003 Q4"</f>
        <v>2003 Q4</v>
      </c>
      <c r="BH50" t="str">
        <f>"2003 Q3"</f>
        <v>2003 Q3</v>
      </c>
      <c r="BI50" t="str">
        <f>"2003 Q2"</f>
        <v>2003 Q2</v>
      </c>
      <c r="BJ50" t="str">
        <f>"2003 Q1"</f>
        <v>2003 Q1</v>
      </c>
      <c r="BN50" t="str">
        <f>""</f>
        <v/>
      </c>
      <c r="BO50" t="str">
        <f>""</f>
        <v/>
      </c>
      <c r="BP50" t="str">
        <f>""</f>
        <v/>
      </c>
      <c r="BQ50" t="str">
        <f>""</f>
        <v/>
      </c>
      <c r="BR50" t="str">
        <f>""</f>
        <v/>
      </c>
      <c r="BS50" t="str">
        <f>""</f>
        <v/>
      </c>
      <c r="BT50" t="str">
        <f>""</f>
        <v/>
      </c>
      <c r="BU50" t="str">
        <f>""</f>
        <v/>
      </c>
      <c r="BV50" t="str">
        <f>""</f>
        <v/>
      </c>
      <c r="BW50" t="str">
        <f>""</f>
        <v/>
      </c>
      <c r="BX50" t="str">
        <f>""</f>
        <v/>
      </c>
      <c r="BY50" t="str">
        <f>""</f>
        <v/>
      </c>
      <c r="BZ50" t="str">
        <f>""</f>
        <v/>
      </c>
      <c r="CA50" t="str">
        <f>""</f>
        <v/>
      </c>
      <c r="CB50" t="str">
        <f>""</f>
        <v/>
      </c>
      <c r="CC50" t="str">
        <f>""</f>
        <v/>
      </c>
      <c r="CD50" t="str">
        <f>""</f>
        <v/>
      </c>
      <c r="CE50" t="str">
        <f>""</f>
        <v/>
      </c>
      <c r="CF50" t="str">
        <f>""</f>
        <v/>
      </c>
      <c r="CG50" t="str">
        <f>""</f>
        <v/>
      </c>
      <c r="CH50" t="str">
        <f>""</f>
        <v/>
      </c>
      <c r="CI50" t="str">
        <f>""</f>
        <v/>
      </c>
      <c r="CJ50" t="str">
        <f>""</f>
        <v/>
      </c>
      <c r="CK50" t="str">
        <f>""</f>
        <v/>
      </c>
      <c r="CL50" t="str">
        <f>""</f>
        <v/>
      </c>
      <c r="CM50" t="str">
        <f>""</f>
        <v/>
      </c>
      <c r="CN50" t="str">
        <f>""</f>
        <v/>
      </c>
      <c r="CO50" t="str">
        <f>""</f>
        <v/>
      </c>
      <c r="CP50" t="str">
        <f>""</f>
        <v/>
      </c>
      <c r="CQ50" t="str">
        <f>""</f>
        <v/>
      </c>
      <c r="CR50" t="str">
        <f>""</f>
        <v/>
      </c>
      <c r="CS50" t="str">
        <f>""</f>
        <v/>
      </c>
      <c r="CT50" t="str">
        <f>""</f>
        <v/>
      </c>
      <c r="CU50" t="str">
        <f>""</f>
        <v/>
      </c>
      <c r="CV50" t="str">
        <f>""</f>
        <v/>
      </c>
      <c r="CW50" t="str">
        <f>""</f>
        <v/>
      </c>
      <c r="CX50" t="str">
        <f>""</f>
        <v/>
      </c>
      <c r="CY50" t="str">
        <f>""</f>
        <v/>
      </c>
      <c r="CZ50" t="str">
        <f>""</f>
        <v/>
      </c>
      <c r="DA50" t="str">
        <f>""</f>
        <v/>
      </c>
      <c r="DB50" t="str">
        <f>""</f>
        <v/>
      </c>
      <c r="DC50" t="str">
        <f>""</f>
        <v/>
      </c>
      <c r="DD50" t="str">
        <f>""</f>
        <v/>
      </c>
      <c r="DE50" t="str">
        <f>""</f>
        <v/>
      </c>
      <c r="DF50" t="str">
        <f>""</f>
        <v/>
      </c>
      <c r="DG50" t="str">
        <f>""</f>
        <v/>
      </c>
      <c r="DH50" t="str">
        <f>""</f>
        <v/>
      </c>
      <c r="DI50" t="str">
        <f>""</f>
        <v/>
      </c>
      <c r="DJ50" t="str">
        <f>""</f>
        <v/>
      </c>
      <c r="DK50" t="str">
        <f>""</f>
        <v/>
      </c>
      <c r="DL50" t="str">
        <f>""</f>
        <v/>
      </c>
      <c r="DM50" t="str">
        <f>""</f>
        <v/>
      </c>
      <c r="DN50" t="str">
        <f>""</f>
        <v/>
      </c>
      <c r="DO50" t="str">
        <f>""</f>
        <v/>
      </c>
      <c r="DP50" t="str">
        <f>""</f>
        <v/>
      </c>
      <c r="DQ50" t="str">
        <f>""</f>
        <v/>
      </c>
      <c r="DR50" t="str">
        <f>""</f>
        <v/>
      </c>
      <c r="DS50" t="str">
        <f>""</f>
        <v/>
      </c>
      <c r="DT50" t="str">
        <f>""</f>
        <v/>
      </c>
      <c r="DU50" t="str">
        <f>""</f>
        <v/>
      </c>
    </row>
    <row r="51" spans="1:125">
      <c r="A51" t="str">
        <f>"BDH snapshot header0"</f>
        <v>BDH snapshot header0</v>
      </c>
      <c r="B51">
        <f>IF(OR(ISERROR($C$51),ISBLANK($C$51),ISNUMBER(SEARCH("N/A",$C$51) ),ISERROR($C$52),ISBLANK($C$52)),0,1)</f>
        <v>0</v>
      </c>
      <c r="C51" t="str">
        <f>BDH($B$30,$C$30,$B$26,$B$49,"PER=CQ","Dts=S","DtFmt=FI", "rows=2","Dir=H","Points=60","Sort=R","Days=A","Fill=B","FX=USD" )</f>
        <v>#N/A Requesting Data...</v>
      </c>
      <c r="BN51" t="str">
        <f>""</f>
        <v/>
      </c>
      <c r="BO51" t="str">
        <f>""</f>
        <v/>
      </c>
      <c r="BP51" t="str">
        <f>""</f>
        <v/>
      </c>
      <c r="BQ51" t="str">
        <f>""</f>
        <v/>
      </c>
      <c r="BR51" t="str">
        <f>""</f>
        <v/>
      </c>
      <c r="BS51" t="str">
        <f>""</f>
        <v/>
      </c>
      <c r="BT51" t="str">
        <f>""</f>
        <v/>
      </c>
      <c r="BU51" t="str">
        <f>""</f>
        <v/>
      </c>
      <c r="BV51" t="str">
        <f>""</f>
        <v/>
      </c>
      <c r="BW51" t="str">
        <f>""</f>
        <v/>
      </c>
      <c r="BX51" t="str">
        <f>""</f>
        <v/>
      </c>
      <c r="BY51" t="str">
        <f>""</f>
        <v/>
      </c>
      <c r="BZ51" t="str">
        <f>""</f>
        <v/>
      </c>
      <c r="CA51" t="str">
        <f>""</f>
        <v/>
      </c>
      <c r="CB51" t="str">
        <f>""</f>
        <v/>
      </c>
      <c r="CC51" t="str">
        <f>""</f>
        <v/>
      </c>
      <c r="CD51" t="str">
        <f>""</f>
        <v/>
      </c>
      <c r="CE51" t="str">
        <f>""</f>
        <v/>
      </c>
      <c r="CF51" t="str">
        <f>""</f>
        <v/>
      </c>
      <c r="CG51" t="str">
        <f>""</f>
        <v/>
      </c>
      <c r="CH51" t="str">
        <f>""</f>
        <v/>
      </c>
      <c r="CI51" t="str">
        <f>""</f>
        <v/>
      </c>
      <c r="CJ51" t="str">
        <f>""</f>
        <v/>
      </c>
      <c r="CK51" t="str">
        <f>""</f>
        <v/>
      </c>
      <c r="CL51" t="str">
        <f>""</f>
        <v/>
      </c>
      <c r="CM51" t="str">
        <f>""</f>
        <v/>
      </c>
      <c r="CN51" t="str">
        <f>""</f>
        <v/>
      </c>
      <c r="CO51" t="str">
        <f>""</f>
        <v/>
      </c>
      <c r="CP51" t="str">
        <f>""</f>
        <v/>
      </c>
      <c r="CQ51" t="str">
        <f>""</f>
        <v/>
      </c>
      <c r="CR51" t="str">
        <f>""</f>
        <v/>
      </c>
      <c r="CS51" t="str">
        <f>""</f>
        <v/>
      </c>
      <c r="CT51" t="str">
        <f>""</f>
        <v/>
      </c>
      <c r="CU51" t="str">
        <f>""</f>
        <v/>
      </c>
      <c r="CV51" t="str">
        <f>""</f>
        <v/>
      </c>
      <c r="CW51" t="str">
        <f>""</f>
        <v/>
      </c>
      <c r="CX51" t="str">
        <f>""</f>
        <v/>
      </c>
      <c r="CY51" t="str">
        <f>""</f>
        <v/>
      </c>
      <c r="CZ51" t="str">
        <f>""</f>
        <v/>
      </c>
      <c r="DA51" t="str">
        <f>""</f>
        <v/>
      </c>
      <c r="DB51" t="str">
        <f>""</f>
        <v/>
      </c>
      <c r="DC51" t="str">
        <f>""</f>
        <v/>
      </c>
      <c r="DD51" t="str">
        <f>""</f>
        <v/>
      </c>
      <c r="DE51" t="str">
        <f>""</f>
        <v/>
      </c>
      <c r="DF51" t="str">
        <f>""</f>
        <v/>
      </c>
      <c r="DG51" t="str">
        <f>""</f>
        <v/>
      </c>
      <c r="DH51" t="str">
        <f>""</f>
        <v/>
      </c>
      <c r="DI51" t="str">
        <f>""</f>
        <v/>
      </c>
      <c r="DJ51" t="str">
        <f>""</f>
        <v/>
      </c>
      <c r="DK51" t="str">
        <f>""</f>
        <v/>
      </c>
      <c r="DL51" t="str">
        <f>""</f>
        <v/>
      </c>
      <c r="DM51" t="str">
        <f>""</f>
        <v/>
      </c>
      <c r="DN51" t="str">
        <f>""</f>
        <v/>
      </c>
      <c r="DO51" t="str">
        <f>""</f>
        <v/>
      </c>
      <c r="DP51" t="str">
        <f>""</f>
        <v/>
      </c>
      <c r="DQ51" t="str">
        <f>""</f>
        <v/>
      </c>
      <c r="DR51" t="str">
        <f>""</f>
        <v/>
      </c>
      <c r="DS51" t="str">
        <f>""</f>
        <v/>
      </c>
      <c r="DT51" t="str">
        <f>""</f>
        <v/>
      </c>
      <c r="DU51" t="str">
        <f>""</f>
        <v/>
      </c>
    </row>
    <row r="52" spans="1:125">
      <c r="A52" t="str">
        <f>"BDH snapshot result0"</f>
        <v>BDH snapshot result0</v>
      </c>
      <c r="BN52" t="str">
        <f>""</f>
        <v/>
      </c>
      <c r="BO52" t="str">
        <f>""</f>
        <v/>
      </c>
      <c r="BP52" t="str">
        <f>""</f>
        <v/>
      </c>
      <c r="BQ52" t="str">
        <f>""</f>
        <v/>
      </c>
      <c r="BR52" t="str">
        <f>""</f>
        <v/>
      </c>
      <c r="BS52" t="str">
        <f>""</f>
        <v/>
      </c>
      <c r="BT52" t="str">
        <f>""</f>
        <v/>
      </c>
      <c r="BU52" t="str">
        <f>""</f>
        <v/>
      </c>
      <c r="BV52" t="str">
        <f>""</f>
        <v/>
      </c>
      <c r="BW52" t="str">
        <f>""</f>
        <v/>
      </c>
      <c r="BX52" t="str">
        <f>""</f>
        <v/>
      </c>
      <c r="BY52" t="str">
        <f>""</f>
        <v/>
      </c>
      <c r="BZ52" t="str">
        <f>""</f>
        <v/>
      </c>
      <c r="CA52" t="str">
        <f>""</f>
        <v/>
      </c>
      <c r="CB52" t="str">
        <f>""</f>
        <v/>
      </c>
      <c r="CC52" t="str">
        <f>""</f>
        <v/>
      </c>
      <c r="CD52" t="str">
        <f>""</f>
        <v/>
      </c>
      <c r="CE52" t="str">
        <f>""</f>
        <v/>
      </c>
      <c r="CF52" t="str">
        <f>""</f>
        <v/>
      </c>
      <c r="CG52" t="str">
        <f>""</f>
        <v/>
      </c>
      <c r="CH52" t="str">
        <f>""</f>
        <v/>
      </c>
      <c r="CI52" t="str">
        <f>""</f>
        <v/>
      </c>
      <c r="CJ52" t="str">
        <f>""</f>
        <v/>
      </c>
      <c r="CK52" t="str">
        <f>""</f>
        <v/>
      </c>
      <c r="CL52" t="str">
        <f>""</f>
        <v/>
      </c>
      <c r="CM52" t="str">
        <f>""</f>
        <v/>
      </c>
      <c r="CN52" t="str">
        <f>""</f>
        <v/>
      </c>
      <c r="CO52" t="str">
        <f>""</f>
        <v/>
      </c>
      <c r="CP52" t="str">
        <f>""</f>
        <v/>
      </c>
      <c r="CQ52" t="str">
        <f>""</f>
        <v/>
      </c>
      <c r="CR52" t="str">
        <f>""</f>
        <v/>
      </c>
      <c r="CS52" t="str">
        <f>""</f>
        <v/>
      </c>
      <c r="CT52" t="str">
        <f>""</f>
        <v/>
      </c>
      <c r="CU52" t="str">
        <f>""</f>
        <v/>
      </c>
      <c r="CV52" t="str">
        <f>""</f>
        <v/>
      </c>
      <c r="CW52" t="str">
        <f>""</f>
        <v/>
      </c>
      <c r="CX52" t="str">
        <f>""</f>
        <v/>
      </c>
      <c r="CY52" t="str">
        <f>""</f>
        <v/>
      </c>
      <c r="CZ52" t="str">
        <f>""</f>
        <v/>
      </c>
      <c r="DA52" t="str">
        <f>""</f>
        <v/>
      </c>
      <c r="DB52" t="str">
        <f>""</f>
        <v/>
      </c>
      <c r="DC52" t="str">
        <f>""</f>
        <v/>
      </c>
      <c r="DD52" t="str">
        <f>""</f>
        <v/>
      </c>
      <c r="DE52" t="str">
        <f>""</f>
        <v/>
      </c>
      <c r="DF52" t="str">
        <f>""</f>
        <v/>
      </c>
      <c r="DG52" t="str">
        <f>""</f>
        <v/>
      </c>
      <c r="DH52" t="str">
        <f>""</f>
        <v/>
      </c>
      <c r="DI52" t="str">
        <f>""</f>
        <v/>
      </c>
      <c r="DJ52" t="str">
        <f>""</f>
        <v/>
      </c>
      <c r="DK52" t="str">
        <f>""</f>
        <v/>
      </c>
      <c r="DL52" t="str">
        <f>""</f>
        <v/>
      </c>
      <c r="DM52" t="str">
        <f>""</f>
        <v/>
      </c>
      <c r="DN52" t="str">
        <f>""</f>
        <v/>
      </c>
      <c r="DO52" t="str">
        <f>""</f>
        <v/>
      </c>
      <c r="DP52" t="str">
        <f>""</f>
        <v/>
      </c>
      <c r="DQ52" t="str">
        <f>""</f>
        <v/>
      </c>
      <c r="DR52" t="str">
        <f>""</f>
        <v/>
      </c>
      <c r="DS52" t="str">
        <f>""</f>
        <v/>
      </c>
      <c r="DT52" t="str">
        <f>""</f>
        <v/>
      </c>
      <c r="DU52" t="str">
        <f>""</f>
        <v/>
      </c>
    </row>
    <row r="53" spans="1:125">
      <c r="A53" t="str">
        <f>"BDH snapshot header1"</f>
        <v>BDH snapshot header1</v>
      </c>
      <c r="B53">
        <f>IF(OR(ISERROR($C$53),ISBLANK($C$53),ISNUMBER(SEARCH("N/A",$C$53) ),ISERROR($C$54),ISBLANK($C$54)),0,1)</f>
        <v>0</v>
      </c>
      <c r="C53" t="str">
        <f>BDH($B$31,$C$31,$B$26,$B$49,"PER=CQ","Dts=S","DtFmt=FI", "rows=2","Dir=H","Points=60","Sort=R","Days=A","Fill=B","FX=USD" )</f>
        <v>#N/A Requesting Data...</v>
      </c>
      <c r="BN53" t="str">
        <f>""</f>
        <v/>
      </c>
      <c r="BO53" t="str">
        <f>""</f>
        <v/>
      </c>
      <c r="BP53" t="str">
        <f>""</f>
        <v/>
      </c>
      <c r="BQ53" t="str">
        <f>""</f>
        <v/>
      </c>
      <c r="BR53" t="str">
        <f>""</f>
        <v/>
      </c>
      <c r="BS53" t="str">
        <f>""</f>
        <v/>
      </c>
      <c r="BT53" t="str">
        <f>""</f>
        <v/>
      </c>
      <c r="BU53" t="str">
        <f>""</f>
        <v/>
      </c>
      <c r="BV53" t="str">
        <f>""</f>
        <v/>
      </c>
      <c r="BW53" t="str">
        <f>""</f>
        <v/>
      </c>
      <c r="BX53" t="str">
        <f>""</f>
        <v/>
      </c>
      <c r="BY53" t="str">
        <f>""</f>
        <v/>
      </c>
      <c r="BZ53" t="str">
        <f>""</f>
        <v/>
      </c>
      <c r="CA53" t="str">
        <f>""</f>
        <v/>
      </c>
      <c r="CB53" t="str">
        <f>""</f>
        <v/>
      </c>
      <c r="CC53" t="str">
        <f>""</f>
        <v/>
      </c>
      <c r="CD53" t="str">
        <f>""</f>
        <v/>
      </c>
      <c r="CE53" t="str">
        <f>""</f>
        <v/>
      </c>
      <c r="CF53" t="str">
        <f>""</f>
        <v/>
      </c>
      <c r="CG53" t="str">
        <f>""</f>
        <v/>
      </c>
      <c r="CH53" t="str">
        <f>""</f>
        <v/>
      </c>
      <c r="CI53" t="str">
        <f>""</f>
        <v/>
      </c>
      <c r="CJ53" t="str">
        <f>""</f>
        <v/>
      </c>
      <c r="CK53" t="str">
        <f>""</f>
        <v/>
      </c>
      <c r="CL53" t="str">
        <f>""</f>
        <v/>
      </c>
      <c r="CM53" t="str">
        <f>""</f>
        <v/>
      </c>
      <c r="CN53" t="str">
        <f>""</f>
        <v/>
      </c>
      <c r="CO53" t="str">
        <f>""</f>
        <v/>
      </c>
      <c r="CP53" t="str">
        <f>""</f>
        <v/>
      </c>
      <c r="CQ53" t="str">
        <f>""</f>
        <v/>
      </c>
      <c r="CR53" t="str">
        <f>""</f>
        <v/>
      </c>
      <c r="CS53" t="str">
        <f>""</f>
        <v/>
      </c>
      <c r="CT53" t="str">
        <f>""</f>
        <v/>
      </c>
      <c r="CU53" t="str">
        <f>""</f>
        <v/>
      </c>
      <c r="CV53" t="str">
        <f>""</f>
        <v/>
      </c>
      <c r="CW53" t="str">
        <f>""</f>
        <v/>
      </c>
      <c r="CX53" t="str">
        <f>""</f>
        <v/>
      </c>
      <c r="CY53" t="str">
        <f>""</f>
        <v/>
      </c>
      <c r="CZ53" t="str">
        <f>""</f>
        <v/>
      </c>
      <c r="DA53" t="str">
        <f>""</f>
        <v/>
      </c>
      <c r="DB53" t="str">
        <f>""</f>
        <v/>
      </c>
      <c r="DC53" t="str">
        <f>""</f>
        <v/>
      </c>
      <c r="DD53" t="str">
        <f>""</f>
        <v/>
      </c>
      <c r="DE53" t="str">
        <f>""</f>
        <v/>
      </c>
      <c r="DF53" t="str">
        <f>""</f>
        <v/>
      </c>
      <c r="DG53" t="str">
        <f>""</f>
        <v/>
      </c>
      <c r="DH53" t="str">
        <f>""</f>
        <v/>
      </c>
      <c r="DI53" t="str">
        <f>""</f>
        <v/>
      </c>
      <c r="DJ53" t="str">
        <f>""</f>
        <v/>
      </c>
      <c r="DK53" t="str">
        <f>""</f>
        <v/>
      </c>
      <c r="DL53" t="str">
        <f>""</f>
        <v/>
      </c>
      <c r="DM53" t="str">
        <f>""</f>
        <v/>
      </c>
      <c r="DN53" t="str">
        <f>""</f>
        <v/>
      </c>
      <c r="DO53" t="str">
        <f>""</f>
        <v/>
      </c>
      <c r="DP53" t="str">
        <f>""</f>
        <v/>
      </c>
      <c r="DQ53" t="str">
        <f>""</f>
        <v/>
      </c>
      <c r="DR53" t="str">
        <f>""</f>
        <v/>
      </c>
      <c r="DS53" t="str">
        <f>""</f>
        <v/>
      </c>
      <c r="DT53" t="str">
        <f>""</f>
        <v/>
      </c>
      <c r="DU53" t="str">
        <f>""</f>
        <v/>
      </c>
    </row>
    <row r="54" spans="1:125">
      <c r="A54" t="str">
        <f>"BDH snapshot result1"</f>
        <v>BDH snapshot result1</v>
      </c>
      <c r="BN54" t="str">
        <f>""</f>
        <v/>
      </c>
      <c r="BO54" t="str">
        <f>""</f>
        <v/>
      </c>
      <c r="BP54" t="str">
        <f>""</f>
        <v/>
      </c>
      <c r="BQ54" t="str">
        <f>""</f>
        <v/>
      </c>
      <c r="BR54" t="str">
        <f>""</f>
        <v/>
      </c>
      <c r="BS54" t="str">
        <f>""</f>
        <v/>
      </c>
      <c r="BT54" t="str">
        <f>""</f>
        <v/>
      </c>
      <c r="BU54" t="str">
        <f>""</f>
        <v/>
      </c>
      <c r="BV54" t="str">
        <f>""</f>
        <v/>
      </c>
      <c r="BW54" t="str">
        <f>""</f>
        <v/>
      </c>
      <c r="BX54" t="str">
        <f>""</f>
        <v/>
      </c>
      <c r="BY54" t="str">
        <f>""</f>
        <v/>
      </c>
      <c r="BZ54" t="str">
        <f>""</f>
        <v/>
      </c>
      <c r="CA54" t="str">
        <f>""</f>
        <v/>
      </c>
      <c r="CB54" t="str">
        <f>""</f>
        <v/>
      </c>
      <c r="CC54" t="str">
        <f>""</f>
        <v/>
      </c>
      <c r="CD54" t="str">
        <f>""</f>
        <v/>
      </c>
      <c r="CE54" t="str">
        <f>""</f>
        <v/>
      </c>
      <c r="CF54" t="str">
        <f>""</f>
        <v/>
      </c>
      <c r="CG54" t="str">
        <f>""</f>
        <v/>
      </c>
      <c r="CH54" t="str">
        <f>""</f>
        <v/>
      </c>
      <c r="CI54" t="str">
        <f>""</f>
        <v/>
      </c>
      <c r="CJ54" t="str">
        <f>""</f>
        <v/>
      </c>
      <c r="CK54" t="str">
        <f>""</f>
        <v/>
      </c>
      <c r="CL54" t="str">
        <f>""</f>
        <v/>
      </c>
      <c r="CM54" t="str">
        <f>""</f>
        <v/>
      </c>
      <c r="CN54" t="str">
        <f>""</f>
        <v/>
      </c>
      <c r="CO54" t="str">
        <f>""</f>
        <v/>
      </c>
      <c r="CP54" t="str">
        <f>""</f>
        <v/>
      </c>
      <c r="CQ54" t="str">
        <f>""</f>
        <v/>
      </c>
      <c r="CR54" t="str">
        <f>""</f>
        <v/>
      </c>
      <c r="CS54" t="str">
        <f>""</f>
        <v/>
      </c>
      <c r="CT54" t="str">
        <f>""</f>
        <v/>
      </c>
      <c r="CU54" t="str">
        <f>""</f>
        <v/>
      </c>
      <c r="CV54" t="str">
        <f>""</f>
        <v/>
      </c>
      <c r="CW54" t="str">
        <f>""</f>
        <v/>
      </c>
      <c r="CX54" t="str">
        <f>""</f>
        <v/>
      </c>
      <c r="CY54" t="str">
        <f>""</f>
        <v/>
      </c>
      <c r="CZ54" t="str">
        <f>""</f>
        <v/>
      </c>
      <c r="DA54" t="str">
        <f>""</f>
        <v/>
      </c>
      <c r="DB54" t="str">
        <f>""</f>
        <v/>
      </c>
      <c r="DC54" t="str">
        <f>""</f>
        <v/>
      </c>
      <c r="DD54" t="str">
        <f>""</f>
        <v/>
      </c>
      <c r="DE54" t="str">
        <f>""</f>
        <v/>
      </c>
      <c r="DF54" t="str">
        <f>""</f>
        <v/>
      </c>
      <c r="DG54" t="str">
        <f>""</f>
        <v/>
      </c>
      <c r="DH54" t="str">
        <f>""</f>
        <v/>
      </c>
      <c r="DI54" t="str">
        <f>""</f>
        <v/>
      </c>
      <c r="DJ54" t="str">
        <f>""</f>
        <v/>
      </c>
      <c r="DK54" t="str">
        <f>""</f>
        <v/>
      </c>
      <c r="DL54" t="str">
        <f>""</f>
        <v/>
      </c>
      <c r="DM54" t="str">
        <f>""</f>
        <v/>
      </c>
      <c r="DN54" t="str">
        <f>""</f>
        <v/>
      </c>
      <c r="DO54" t="str">
        <f>""</f>
        <v/>
      </c>
      <c r="DP54" t="str">
        <f>""</f>
        <v/>
      </c>
      <c r="DQ54" t="str">
        <f>""</f>
        <v/>
      </c>
      <c r="DR54" t="str">
        <f>""</f>
        <v/>
      </c>
      <c r="DS54" t="str">
        <f>""</f>
        <v/>
      </c>
      <c r="DT54" t="str">
        <f>""</f>
        <v/>
      </c>
      <c r="DU54" t="str">
        <f>""</f>
        <v/>
      </c>
    </row>
    <row r="55" spans="1:125">
      <c r="A55" t="str">
        <f>"BDH snapshot header2"</f>
        <v>BDH snapshot header2</v>
      </c>
      <c r="B55">
        <f>IF(OR(ISERROR($C$55),ISBLANK($C$55),ISNUMBER(SEARCH("N/A",$C$55) ),ISERROR($C$56),ISBLANK($C$56)),0,1)</f>
        <v>0</v>
      </c>
      <c r="C55" t="str">
        <f>BDH($B$32,$C$32,$B$26,$B$49,"PER=CQ","Dts=S","DtFmt=FI", "rows=2","Dir=H","Points=60","Sort=R","Days=A","Fill=B","FX=USD" )</f>
        <v>#N/A Requesting Data...</v>
      </c>
      <c r="BN55" t="str">
        <f>""</f>
        <v/>
      </c>
      <c r="BO55" t="str">
        <f>""</f>
        <v/>
      </c>
      <c r="BP55" t="str">
        <f>""</f>
        <v/>
      </c>
      <c r="BQ55" t="str">
        <f>""</f>
        <v/>
      </c>
      <c r="BR55" t="str">
        <f>""</f>
        <v/>
      </c>
      <c r="BS55" t="str">
        <f>""</f>
        <v/>
      </c>
      <c r="BT55" t="str">
        <f>""</f>
        <v/>
      </c>
      <c r="BU55" t="str">
        <f>""</f>
        <v/>
      </c>
      <c r="BV55" t="str">
        <f>""</f>
        <v/>
      </c>
      <c r="BW55" t="str">
        <f>""</f>
        <v/>
      </c>
      <c r="BX55" t="str">
        <f>""</f>
        <v/>
      </c>
      <c r="BY55" t="str">
        <f>""</f>
        <v/>
      </c>
      <c r="BZ55" t="str">
        <f>""</f>
        <v/>
      </c>
      <c r="CA55" t="str">
        <f>""</f>
        <v/>
      </c>
      <c r="CB55" t="str">
        <f>""</f>
        <v/>
      </c>
      <c r="CC55" t="str">
        <f>""</f>
        <v/>
      </c>
      <c r="CD55" t="str">
        <f>""</f>
        <v/>
      </c>
      <c r="CE55" t="str">
        <f>""</f>
        <v/>
      </c>
      <c r="CF55" t="str">
        <f>""</f>
        <v/>
      </c>
      <c r="CG55" t="str">
        <f>""</f>
        <v/>
      </c>
      <c r="CH55" t="str">
        <f>""</f>
        <v/>
      </c>
      <c r="CI55" t="str">
        <f>""</f>
        <v/>
      </c>
      <c r="CJ55" t="str">
        <f>""</f>
        <v/>
      </c>
      <c r="CK55" t="str">
        <f>""</f>
        <v/>
      </c>
      <c r="CL55" t="str">
        <f>""</f>
        <v/>
      </c>
      <c r="CM55" t="str">
        <f>""</f>
        <v/>
      </c>
      <c r="CN55" t="str">
        <f>""</f>
        <v/>
      </c>
      <c r="CO55" t="str">
        <f>""</f>
        <v/>
      </c>
      <c r="CP55" t="str">
        <f>""</f>
        <v/>
      </c>
      <c r="CQ55" t="str">
        <f>""</f>
        <v/>
      </c>
      <c r="CR55" t="str">
        <f>""</f>
        <v/>
      </c>
      <c r="CS55" t="str">
        <f>""</f>
        <v/>
      </c>
      <c r="CT55" t="str">
        <f>""</f>
        <v/>
      </c>
      <c r="CU55" t="str">
        <f>""</f>
        <v/>
      </c>
      <c r="CV55" t="str">
        <f>""</f>
        <v/>
      </c>
      <c r="CW55" t="str">
        <f>""</f>
        <v/>
      </c>
      <c r="CX55" t="str">
        <f>""</f>
        <v/>
      </c>
      <c r="CY55" t="str">
        <f>""</f>
        <v/>
      </c>
      <c r="CZ55" t="str">
        <f>""</f>
        <v/>
      </c>
      <c r="DA55" t="str">
        <f>""</f>
        <v/>
      </c>
      <c r="DB55" t="str">
        <f>""</f>
        <v/>
      </c>
      <c r="DC55" t="str">
        <f>""</f>
        <v/>
      </c>
      <c r="DD55" t="str">
        <f>""</f>
        <v/>
      </c>
      <c r="DE55" t="str">
        <f>""</f>
        <v/>
      </c>
      <c r="DF55" t="str">
        <f>""</f>
        <v/>
      </c>
      <c r="DG55" t="str">
        <f>""</f>
        <v/>
      </c>
      <c r="DH55" t="str">
        <f>""</f>
        <v/>
      </c>
      <c r="DI55" t="str">
        <f>""</f>
        <v/>
      </c>
      <c r="DJ55" t="str">
        <f>""</f>
        <v/>
      </c>
      <c r="DK55" t="str">
        <f>""</f>
        <v/>
      </c>
      <c r="DL55" t="str">
        <f>""</f>
        <v/>
      </c>
      <c r="DM55" t="str">
        <f>""</f>
        <v/>
      </c>
      <c r="DN55" t="str">
        <f>""</f>
        <v/>
      </c>
      <c r="DO55" t="str">
        <f>""</f>
        <v/>
      </c>
      <c r="DP55" t="str">
        <f>""</f>
        <v/>
      </c>
      <c r="DQ55" t="str">
        <f>""</f>
        <v/>
      </c>
      <c r="DR55" t="str">
        <f>""</f>
        <v/>
      </c>
      <c r="DS55" t="str">
        <f>""</f>
        <v/>
      </c>
      <c r="DT55" t="str">
        <f>""</f>
        <v/>
      </c>
      <c r="DU55" t="str">
        <f>""</f>
        <v/>
      </c>
    </row>
    <row r="56" spans="1:125">
      <c r="A56" t="str">
        <f>"BDH snapshot result2"</f>
        <v>BDH snapshot result2</v>
      </c>
      <c r="BN56" t="str">
        <f>""</f>
        <v/>
      </c>
      <c r="BO56" t="str">
        <f>""</f>
        <v/>
      </c>
      <c r="BP56" t="str">
        <f>""</f>
        <v/>
      </c>
      <c r="BQ56" t="str">
        <f>""</f>
        <v/>
      </c>
      <c r="BR56" t="str">
        <f>""</f>
        <v/>
      </c>
      <c r="BS56" t="str">
        <f>""</f>
        <v/>
      </c>
      <c r="BT56" t="str">
        <f>""</f>
        <v/>
      </c>
      <c r="BU56" t="str">
        <f>""</f>
        <v/>
      </c>
      <c r="BV56" t="str">
        <f>""</f>
        <v/>
      </c>
      <c r="BW56" t="str">
        <f>""</f>
        <v/>
      </c>
      <c r="BX56" t="str">
        <f>""</f>
        <v/>
      </c>
      <c r="BY56" t="str">
        <f>""</f>
        <v/>
      </c>
      <c r="BZ56" t="str">
        <f>""</f>
        <v/>
      </c>
      <c r="CA56" t="str">
        <f>""</f>
        <v/>
      </c>
      <c r="CB56" t="str">
        <f>""</f>
        <v/>
      </c>
      <c r="CC56" t="str">
        <f>""</f>
        <v/>
      </c>
      <c r="CD56" t="str">
        <f>""</f>
        <v/>
      </c>
      <c r="CE56" t="str">
        <f>""</f>
        <v/>
      </c>
      <c r="CF56" t="str">
        <f>""</f>
        <v/>
      </c>
      <c r="CG56" t="str">
        <f>""</f>
        <v/>
      </c>
      <c r="CH56" t="str">
        <f>""</f>
        <v/>
      </c>
      <c r="CI56" t="str">
        <f>""</f>
        <v/>
      </c>
      <c r="CJ56" t="str">
        <f>""</f>
        <v/>
      </c>
      <c r="CK56" t="str">
        <f>""</f>
        <v/>
      </c>
      <c r="CL56" t="str">
        <f>""</f>
        <v/>
      </c>
      <c r="CM56" t="str">
        <f>""</f>
        <v/>
      </c>
      <c r="CN56" t="str">
        <f>""</f>
        <v/>
      </c>
      <c r="CO56" t="str">
        <f>""</f>
        <v/>
      </c>
      <c r="CP56" t="str">
        <f>""</f>
        <v/>
      </c>
      <c r="CQ56" t="str">
        <f>""</f>
        <v/>
      </c>
      <c r="CR56" t="str">
        <f>""</f>
        <v/>
      </c>
      <c r="CS56" t="str">
        <f>""</f>
        <v/>
      </c>
      <c r="CT56" t="str">
        <f>""</f>
        <v/>
      </c>
      <c r="CU56" t="str">
        <f>""</f>
        <v/>
      </c>
      <c r="CV56" t="str">
        <f>""</f>
        <v/>
      </c>
      <c r="CW56" t="str">
        <f>""</f>
        <v/>
      </c>
      <c r="CX56" t="str">
        <f>""</f>
        <v/>
      </c>
      <c r="CY56" t="str">
        <f>""</f>
        <v/>
      </c>
      <c r="CZ56" t="str">
        <f>""</f>
        <v/>
      </c>
      <c r="DA56" t="str">
        <f>""</f>
        <v/>
      </c>
      <c r="DB56" t="str">
        <f>""</f>
        <v/>
      </c>
      <c r="DC56" t="str">
        <f>""</f>
        <v/>
      </c>
      <c r="DD56" t="str">
        <f>""</f>
        <v/>
      </c>
      <c r="DE56" t="str">
        <f>""</f>
        <v/>
      </c>
      <c r="DF56" t="str">
        <f>""</f>
        <v/>
      </c>
      <c r="DG56" t="str">
        <f>""</f>
        <v/>
      </c>
      <c r="DH56" t="str">
        <f>""</f>
        <v/>
      </c>
      <c r="DI56" t="str">
        <f>""</f>
        <v/>
      </c>
      <c r="DJ56" t="str">
        <f>""</f>
        <v/>
      </c>
      <c r="DK56" t="str">
        <f>""</f>
        <v/>
      </c>
      <c r="DL56" t="str">
        <f>""</f>
        <v/>
      </c>
      <c r="DM56" t="str">
        <f>""</f>
        <v/>
      </c>
      <c r="DN56" t="str">
        <f>""</f>
        <v/>
      </c>
      <c r="DO56" t="str">
        <f>""</f>
        <v/>
      </c>
      <c r="DP56" t="str">
        <f>""</f>
        <v/>
      </c>
      <c r="DQ56" t="str">
        <f>""</f>
        <v/>
      </c>
      <c r="DR56" t="str">
        <f>""</f>
        <v/>
      </c>
      <c r="DS56" t="str">
        <f>""</f>
        <v/>
      </c>
      <c r="DT56" t="str">
        <f>""</f>
        <v/>
      </c>
      <c r="DU56" t="str">
        <f>""</f>
        <v/>
      </c>
    </row>
    <row r="57" spans="1:125">
      <c r="A57" t="str">
        <f>"BDH snapshot"</f>
        <v>BDH snapshot</v>
      </c>
      <c r="B57">
        <f>IF($B$51&gt;=1,$B$51,IF($B$53&gt;=1,$B$53,IF($B$55&gt;=1,$B$55,$B$50)))</f>
        <v>2</v>
      </c>
      <c r="C57" t="str">
        <f>IF($B$51&gt;=1,$C$51,IF($B$53&gt;=1,$C$53,IF($B$55&gt;=1,$C$55,$C$50)))</f>
        <v>2017 Q4</v>
      </c>
      <c r="D57" t="str">
        <f>IF($B$51&gt;=1,$D$51,IF($B$53&gt;=1,$D$53,IF($B$55&gt;=1,$D$55,$D$50)))</f>
        <v>2017 Q3</v>
      </c>
      <c r="E57" t="str">
        <f>IF($B$51&gt;=1,$E$51,IF($B$53&gt;=1,$E$53,IF($B$55&gt;=1,$E$55,$E$50)))</f>
        <v>2017 Q2</v>
      </c>
      <c r="F57" t="str">
        <f>IF($B$51&gt;=1,$F$51,IF($B$53&gt;=1,$F$53,IF($B$55&gt;=1,$F$55,$F$50)))</f>
        <v>2017 Q1</v>
      </c>
      <c r="G57" t="str">
        <f>IF($B$51&gt;=1,$G$51,IF($B$53&gt;=1,$G$53,IF($B$55&gt;=1,$G$55,$G$50)))</f>
        <v>2016 Q4</v>
      </c>
      <c r="H57" t="str">
        <f>IF($B$51&gt;=1,$H$51,IF($B$53&gt;=1,$H$53,IF($B$55&gt;=1,$H$55,$H$50)))</f>
        <v>2016 Q3</v>
      </c>
      <c r="I57" t="str">
        <f>IF($B$51&gt;=1,$I$51,IF($B$53&gt;=1,$I$53,IF($B$55&gt;=1,$I$55,$I$50)))</f>
        <v>2016 Q2</v>
      </c>
      <c r="J57" t="str">
        <f>IF($B$51&gt;=1,$J$51,IF($B$53&gt;=1,$J$53,IF($B$55&gt;=1,$J$55,$J$50)))</f>
        <v>2016 Q1</v>
      </c>
      <c r="K57" t="str">
        <f>IF($B$51&gt;=1,$K$51,IF($B$53&gt;=1,$K$53,IF($B$55&gt;=1,$K$55,$K$50)))</f>
        <v>2015 Q4</v>
      </c>
      <c r="L57" t="str">
        <f>IF($B$51&gt;=1,$L$51,IF($B$53&gt;=1,$L$53,IF($B$55&gt;=1,$L$55,$L$50)))</f>
        <v>2015 Q3</v>
      </c>
      <c r="M57" t="str">
        <f>IF($B$51&gt;=1,$M$51,IF($B$53&gt;=1,$M$53,IF($B$55&gt;=1,$M$55,$M$50)))</f>
        <v>2015 Q2</v>
      </c>
      <c r="N57" t="str">
        <f>IF($B$51&gt;=1,$N$51,IF($B$53&gt;=1,$N$53,IF($B$55&gt;=1,$N$55,$N$50)))</f>
        <v>2015 Q1</v>
      </c>
      <c r="O57" t="str">
        <f>IF($B$51&gt;=1,$O$51,IF($B$53&gt;=1,$O$53,IF($B$55&gt;=1,$O$55,$O$50)))</f>
        <v>2014 Q4</v>
      </c>
      <c r="P57" t="str">
        <f>IF($B$51&gt;=1,$P$51,IF($B$53&gt;=1,$P$53,IF($B$55&gt;=1,$P$55,$P$50)))</f>
        <v>2014 Q3</v>
      </c>
      <c r="Q57" t="str">
        <f>IF($B$51&gt;=1,$Q$51,IF($B$53&gt;=1,$Q$53,IF($B$55&gt;=1,$Q$55,$Q$50)))</f>
        <v>2014 Q2</v>
      </c>
      <c r="R57" t="str">
        <f>IF($B$51&gt;=1,$R$51,IF($B$53&gt;=1,$R$53,IF($B$55&gt;=1,$R$55,$R$50)))</f>
        <v>2014 Q1</v>
      </c>
      <c r="S57" t="str">
        <f>IF($B$51&gt;=1,$S$51,IF($B$53&gt;=1,$S$53,IF($B$55&gt;=1,$S$55,$S$50)))</f>
        <v>2013 Q4</v>
      </c>
      <c r="T57" t="str">
        <f>IF($B$51&gt;=1,$T$51,IF($B$53&gt;=1,$T$53,IF($B$55&gt;=1,$T$55,$T$50)))</f>
        <v>2013 Q3</v>
      </c>
      <c r="U57" t="str">
        <f>IF($B$51&gt;=1,$U$51,IF($B$53&gt;=1,$U$53,IF($B$55&gt;=1,$U$55,$U$50)))</f>
        <v>2013 Q2</v>
      </c>
      <c r="V57" t="str">
        <f>IF($B$51&gt;=1,$V$51,IF($B$53&gt;=1,$V$53,IF($B$55&gt;=1,$V$55,$V$50)))</f>
        <v>2013 Q1</v>
      </c>
      <c r="W57" t="str">
        <f>IF($B$51&gt;=1,$W$51,IF($B$53&gt;=1,$W$53,IF($B$55&gt;=1,$W$55,$W$50)))</f>
        <v>2012 Q4</v>
      </c>
      <c r="X57" t="str">
        <f>IF($B$51&gt;=1,$X$51,IF($B$53&gt;=1,$X$53,IF($B$55&gt;=1,$X$55,$X$50)))</f>
        <v>2012 Q3</v>
      </c>
      <c r="Y57" t="str">
        <f>IF($B$51&gt;=1,$Y$51,IF($B$53&gt;=1,$Y$53,IF($B$55&gt;=1,$Y$55,$Y$50)))</f>
        <v>2012 Q2</v>
      </c>
      <c r="Z57" t="str">
        <f>IF($B$51&gt;=1,$Z$51,IF($B$53&gt;=1,$Z$53,IF($B$55&gt;=1,$Z$55,$Z$50)))</f>
        <v>2012 Q1</v>
      </c>
      <c r="AA57" t="str">
        <f>IF($B$51&gt;=1,$AA$51,IF($B$53&gt;=1,$AA$53,IF($B$55&gt;=1,$AA$55,$AA$50)))</f>
        <v>2011 Q4</v>
      </c>
      <c r="AB57" t="str">
        <f>IF($B$51&gt;=1,$AB$51,IF($B$53&gt;=1,$AB$53,IF($B$55&gt;=1,$AB$55,$AB$50)))</f>
        <v>2011 Q3</v>
      </c>
      <c r="AC57" t="str">
        <f>IF($B$51&gt;=1,$AC$51,IF($B$53&gt;=1,$AC$53,IF($B$55&gt;=1,$AC$55,$AC$50)))</f>
        <v>2011 Q2</v>
      </c>
      <c r="AD57" t="str">
        <f>IF($B$51&gt;=1,$AD$51,IF($B$53&gt;=1,$AD$53,IF($B$55&gt;=1,$AD$55,$AD$50)))</f>
        <v>2011 Q1</v>
      </c>
      <c r="AE57" t="str">
        <f>IF($B$51&gt;=1,$AE$51,IF($B$53&gt;=1,$AE$53,IF($B$55&gt;=1,$AE$55,$AE$50)))</f>
        <v>2010 Q4</v>
      </c>
      <c r="AF57" t="str">
        <f>IF($B$51&gt;=1,$AF$51,IF($B$53&gt;=1,$AF$53,IF($B$55&gt;=1,$AF$55,$AF$50)))</f>
        <v>2010 Q3</v>
      </c>
      <c r="AG57" t="str">
        <f>IF($B$51&gt;=1,$AG$51,IF($B$53&gt;=1,$AG$53,IF($B$55&gt;=1,$AG$55,$AG$50)))</f>
        <v>2010 Q2</v>
      </c>
      <c r="AH57" t="str">
        <f>IF($B$51&gt;=1,$AH$51,IF($B$53&gt;=1,$AH$53,IF($B$55&gt;=1,$AH$55,$AH$50)))</f>
        <v>2010 Q1</v>
      </c>
      <c r="AI57" t="str">
        <f>IF($B$51&gt;=1,$AI$51,IF($B$53&gt;=1,$AI$53,IF($B$55&gt;=1,$AI$55,$AI$50)))</f>
        <v>2009 Q4</v>
      </c>
      <c r="AJ57" t="str">
        <f>IF($B$51&gt;=1,$AJ$51,IF($B$53&gt;=1,$AJ$53,IF($B$55&gt;=1,$AJ$55,$AJ$50)))</f>
        <v>2009 Q3</v>
      </c>
      <c r="AK57" t="str">
        <f>IF($B$51&gt;=1,$AK$51,IF($B$53&gt;=1,$AK$53,IF($B$55&gt;=1,$AK$55,$AK$50)))</f>
        <v>2009 Q2</v>
      </c>
      <c r="AL57" t="str">
        <f>IF($B$51&gt;=1,$AL$51,IF($B$53&gt;=1,$AL$53,IF($B$55&gt;=1,$AL$55,$AL$50)))</f>
        <v>2009 Q1</v>
      </c>
      <c r="AM57" t="str">
        <f>IF($B$51&gt;=1,$AM$51,IF($B$53&gt;=1,$AM$53,IF($B$55&gt;=1,$AM$55,$AM$50)))</f>
        <v>2008 Q4</v>
      </c>
      <c r="AN57" t="str">
        <f>IF($B$51&gt;=1,$AN$51,IF($B$53&gt;=1,$AN$53,IF($B$55&gt;=1,$AN$55,$AN$50)))</f>
        <v>2008 Q3</v>
      </c>
      <c r="AO57" t="str">
        <f>IF($B$51&gt;=1,$AO$51,IF($B$53&gt;=1,$AO$53,IF($B$55&gt;=1,$AO$55,$AO$50)))</f>
        <v>2008 Q2</v>
      </c>
      <c r="AP57" t="str">
        <f>IF($B$51&gt;=1,$AP$51,IF($B$53&gt;=1,$AP$53,IF($B$55&gt;=1,$AP$55,$AP$50)))</f>
        <v>2008 Q1</v>
      </c>
      <c r="AQ57" t="str">
        <f>IF($B$51&gt;=1,$AQ$51,IF($B$53&gt;=1,$AQ$53,IF($B$55&gt;=1,$AQ$55,$AQ$50)))</f>
        <v>2007 Q4</v>
      </c>
      <c r="AR57" t="str">
        <f>IF($B$51&gt;=1,$AR$51,IF($B$53&gt;=1,$AR$53,IF($B$55&gt;=1,$AR$55,$AR$50)))</f>
        <v>2007 Q3</v>
      </c>
      <c r="AS57" t="str">
        <f>IF($B$51&gt;=1,$AS$51,IF($B$53&gt;=1,$AS$53,IF($B$55&gt;=1,$AS$55,$AS$50)))</f>
        <v>2007 Q2</v>
      </c>
      <c r="AT57" t="str">
        <f>IF($B$51&gt;=1,$AT$51,IF($B$53&gt;=1,$AT$53,IF($B$55&gt;=1,$AT$55,$AT$50)))</f>
        <v>2007 Q1</v>
      </c>
      <c r="AU57" t="str">
        <f>IF($B$51&gt;=1,$AU$51,IF($B$53&gt;=1,$AU$53,IF($B$55&gt;=1,$AU$55,$AU$50)))</f>
        <v>2006 Q4</v>
      </c>
      <c r="AV57" t="str">
        <f>IF($B$51&gt;=1,$AV$51,IF($B$53&gt;=1,$AV$53,IF($B$55&gt;=1,$AV$55,$AV$50)))</f>
        <v>2006 Q3</v>
      </c>
      <c r="AW57" t="str">
        <f>IF($B$51&gt;=1,$AW$51,IF($B$53&gt;=1,$AW$53,IF($B$55&gt;=1,$AW$55,$AW$50)))</f>
        <v>2006 Q2</v>
      </c>
      <c r="AX57" t="str">
        <f>IF($B$51&gt;=1,$AX$51,IF($B$53&gt;=1,$AX$53,IF($B$55&gt;=1,$AX$55,$AX$50)))</f>
        <v>2006 Q1</v>
      </c>
      <c r="AY57" t="str">
        <f>IF($B$51&gt;=1,$AY$51,IF($B$53&gt;=1,$AY$53,IF($B$55&gt;=1,$AY$55,$AY$50)))</f>
        <v>2005 Q4</v>
      </c>
      <c r="AZ57" t="str">
        <f>IF($B$51&gt;=1,$AZ$51,IF($B$53&gt;=1,$AZ$53,IF($B$55&gt;=1,$AZ$55,$AZ$50)))</f>
        <v>2005 Q3</v>
      </c>
      <c r="BA57" t="str">
        <f>IF($B$51&gt;=1,$BA$51,IF($B$53&gt;=1,$BA$53,IF($B$55&gt;=1,$BA$55,$BA$50)))</f>
        <v>2005 Q2</v>
      </c>
      <c r="BB57" t="str">
        <f>IF($B$51&gt;=1,$BB$51,IF($B$53&gt;=1,$BB$53,IF($B$55&gt;=1,$BB$55,$BB$50)))</f>
        <v>2005 Q1</v>
      </c>
      <c r="BC57" t="str">
        <f>IF($B$51&gt;=1,$BC$51,IF($B$53&gt;=1,$BC$53,IF($B$55&gt;=1,$BC$55,$BC$50)))</f>
        <v>2004 Q4</v>
      </c>
      <c r="BD57" t="str">
        <f>IF($B$51&gt;=1,$BD$51,IF($B$53&gt;=1,$BD$53,IF($B$55&gt;=1,$BD$55,$BD$50)))</f>
        <v>2004 Q3</v>
      </c>
      <c r="BE57" t="str">
        <f>IF($B$51&gt;=1,$BE$51,IF($B$53&gt;=1,$BE$53,IF($B$55&gt;=1,$BE$55,$BE$50)))</f>
        <v>2004 Q2</v>
      </c>
      <c r="BF57" t="str">
        <f>IF($B$51&gt;=1,$BF$51,IF($B$53&gt;=1,$BF$53,IF($B$55&gt;=1,$BF$55,$BF$50)))</f>
        <v>2004 Q1</v>
      </c>
      <c r="BG57" t="str">
        <f>IF($B$51&gt;=1,$BG$51,IF($B$53&gt;=1,$BG$53,IF($B$55&gt;=1,$BG$55,$BG$50)))</f>
        <v>2003 Q4</v>
      </c>
      <c r="BH57" t="str">
        <f>IF($B$51&gt;=1,$BH$51,IF($B$53&gt;=1,$BH$53,IF($B$55&gt;=1,$BH$55,$BH$50)))</f>
        <v>2003 Q3</v>
      </c>
      <c r="BI57" t="str">
        <f>IF($B$51&gt;=1,$BI$51,IF($B$53&gt;=1,$BI$53,IF($B$55&gt;=1,$BI$55,$BI$50)))</f>
        <v>2003 Q2</v>
      </c>
      <c r="BJ57" t="str">
        <f>IF($B$51&gt;=1,$BJ$51,IF($B$53&gt;=1,$BJ$53,IF($B$55&gt;=1,$BJ$55,$BJ$50)))</f>
        <v>2003 Q1</v>
      </c>
      <c r="BN57" t="str">
        <f>""</f>
        <v/>
      </c>
      <c r="BO57" t="str">
        <f>""</f>
        <v/>
      </c>
      <c r="BP57" t="str">
        <f>""</f>
        <v/>
      </c>
      <c r="BQ57" t="str">
        <f>""</f>
        <v/>
      </c>
      <c r="BR57" t="str">
        <f>""</f>
        <v/>
      </c>
      <c r="BS57" t="str">
        <f>""</f>
        <v/>
      </c>
      <c r="BT57" t="str">
        <f>""</f>
        <v/>
      </c>
      <c r="BU57" t="str">
        <f>""</f>
        <v/>
      </c>
      <c r="BV57" t="str">
        <f>""</f>
        <v/>
      </c>
      <c r="BW57" t="str">
        <f>""</f>
        <v/>
      </c>
      <c r="BX57" t="str">
        <f>""</f>
        <v/>
      </c>
      <c r="BY57" t="str">
        <f>""</f>
        <v/>
      </c>
      <c r="BZ57" t="str">
        <f>""</f>
        <v/>
      </c>
      <c r="CA57" t="str">
        <f>""</f>
        <v/>
      </c>
      <c r="CB57" t="str">
        <f>""</f>
        <v/>
      </c>
      <c r="CC57" t="str">
        <f>""</f>
        <v/>
      </c>
      <c r="CD57" t="str">
        <f>""</f>
        <v/>
      </c>
      <c r="CE57" t="str">
        <f>""</f>
        <v/>
      </c>
      <c r="CF57" t="str">
        <f>""</f>
        <v/>
      </c>
      <c r="CG57" t="str">
        <f>""</f>
        <v/>
      </c>
      <c r="CH57" t="str">
        <f>""</f>
        <v/>
      </c>
      <c r="CI57" t="str">
        <f>""</f>
        <v/>
      </c>
      <c r="CJ57" t="str">
        <f>""</f>
        <v/>
      </c>
      <c r="CK57" t="str">
        <f>""</f>
        <v/>
      </c>
      <c r="CL57" t="str">
        <f>""</f>
        <v/>
      </c>
      <c r="CM57" t="str">
        <f>""</f>
        <v/>
      </c>
      <c r="CN57" t="str">
        <f>""</f>
        <v/>
      </c>
      <c r="CO57" t="str">
        <f>""</f>
        <v/>
      </c>
      <c r="CP57" t="str">
        <f>""</f>
        <v/>
      </c>
      <c r="CQ57" t="str">
        <f>""</f>
        <v/>
      </c>
      <c r="CR57" t="str">
        <f>""</f>
        <v/>
      </c>
      <c r="CS57" t="str">
        <f>""</f>
        <v/>
      </c>
      <c r="CT57" t="str">
        <f>""</f>
        <v/>
      </c>
      <c r="CU57" t="str">
        <f>""</f>
        <v/>
      </c>
      <c r="CV57" t="str">
        <f>""</f>
        <v/>
      </c>
      <c r="CW57" t="str">
        <f>""</f>
        <v/>
      </c>
      <c r="CX57" t="str">
        <f>""</f>
        <v/>
      </c>
      <c r="CY57" t="str">
        <f>""</f>
        <v/>
      </c>
      <c r="CZ57" t="str">
        <f>""</f>
        <v/>
      </c>
      <c r="DA57" t="str">
        <f>""</f>
        <v/>
      </c>
      <c r="DB57" t="str">
        <f>""</f>
        <v/>
      </c>
      <c r="DC57" t="str">
        <f>""</f>
        <v/>
      </c>
      <c r="DD57" t="str">
        <f>""</f>
        <v/>
      </c>
      <c r="DE57" t="str">
        <f>""</f>
        <v/>
      </c>
      <c r="DF57" t="str">
        <f>""</f>
        <v/>
      </c>
      <c r="DG57" t="str">
        <f>""</f>
        <v/>
      </c>
      <c r="DH57" t="str">
        <f>""</f>
        <v/>
      </c>
      <c r="DI57" t="str">
        <f>""</f>
        <v/>
      </c>
      <c r="DJ57" t="str">
        <f>""</f>
        <v/>
      </c>
      <c r="DK57" t="str">
        <f>""</f>
        <v/>
      </c>
      <c r="DL57" t="str">
        <f>""</f>
        <v/>
      </c>
      <c r="DM57" t="str">
        <f>""</f>
        <v/>
      </c>
      <c r="DN57" t="str">
        <f>""</f>
        <v/>
      </c>
      <c r="DO57" t="str">
        <f>""</f>
        <v/>
      </c>
      <c r="DP57" t="str">
        <f>""</f>
        <v/>
      </c>
      <c r="DQ57" t="str">
        <f>""</f>
        <v/>
      </c>
      <c r="DR57" t="str">
        <f>""</f>
        <v/>
      </c>
      <c r="DS57" t="str">
        <f>""</f>
        <v/>
      </c>
      <c r="DT57" t="str">
        <f>""</f>
        <v/>
      </c>
      <c r="DU57" t="str">
        <f>""</f>
        <v/>
      </c>
    </row>
    <row r="58" spans="1:125">
      <c r="A58" t="str">
        <f>"BDH snapshot title"</f>
        <v>BDH snapshot title</v>
      </c>
      <c r="B58">
        <f>$B$57</f>
        <v>2</v>
      </c>
      <c r="C58" t="str">
        <f>IF(LEN($C$57)&lt;&gt;8,$C$57,RIGHT($C$57,4)&amp;" "&amp;MID($C$57,3,1)&amp;LEFT($C$57,1))</f>
        <v>2017 Q4</v>
      </c>
      <c r="D58" t="str">
        <f>IF(LEN($D$57)&lt;&gt;8,$D$57,RIGHT($D$57,4)&amp;" "&amp;MID($D$57,3,1)&amp;LEFT($D$57,1))</f>
        <v>2017 Q3</v>
      </c>
      <c r="E58" t="str">
        <f>IF(LEN($E$57)&lt;&gt;8,$E$57,RIGHT($E$57,4)&amp;" "&amp;MID($E$57,3,1)&amp;LEFT($E$57,1))</f>
        <v>2017 Q2</v>
      </c>
      <c r="F58" t="str">
        <f>IF(LEN($F$57)&lt;&gt;8,$F$57,RIGHT($F$57,4)&amp;" "&amp;MID($F$57,3,1)&amp;LEFT($F$57,1))</f>
        <v>2017 Q1</v>
      </c>
      <c r="G58" t="str">
        <f>IF(LEN($G$57)&lt;&gt;8,$G$57,RIGHT($G$57,4)&amp;" "&amp;MID($G$57,3,1)&amp;LEFT($G$57,1))</f>
        <v>2016 Q4</v>
      </c>
      <c r="H58" t="str">
        <f>IF(LEN($H$57)&lt;&gt;8,$H$57,RIGHT($H$57,4)&amp;" "&amp;MID($H$57,3,1)&amp;LEFT($H$57,1))</f>
        <v>2016 Q3</v>
      </c>
      <c r="I58" t="str">
        <f>IF(LEN($I$57)&lt;&gt;8,$I$57,RIGHT($I$57,4)&amp;" "&amp;MID($I$57,3,1)&amp;LEFT($I$57,1))</f>
        <v>2016 Q2</v>
      </c>
      <c r="J58" t="str">
        <f>IF(LEN($J$57)&lt;&gt;8,$J$57,RIGHT($J$57,4)&amp;" "&amp;MID($J$57,3,1)&amp;LEFT($J$57,1))</f>
        <v>2016 Q1</v>
      </c>
      <c r="K58" t="str">
        <f>IF(LEN($K$57)&lt;&gt;8,$K$57,RIGHT($K$57,4)&amp;" "&amp;MID($K$57,3,1)&amp;LEFT($K$57,1))</f>
        <v>2015 Q4</v>
      </c>
      <c r="L58" t="str">
        <f>IF(LEN($L$57)&lt;&gt;8,$L$57,RIGHT($L$57,4)&amp;" "&amp;MID($L$57,3,1)&amp;LEFT($L$57,1))</f>
        <v>2015 Q3</v>
      </c>
      <c r="M58" t="str">
        <f>IF(LEN($M$57)&lt;&gt;8,$M$57,RIGHT($M$57,4)&amp;" "&amp;MID($M$57,3,1)&amp;LEFT($M$57,1))</f>
        <v>2015 Q2</v>
      </c>
      <c r="N58" t="str">
        <f>IF(LEN($N$57)&lt;&gt;8,$N$57,RIGHT($N$57,4)&amp;" "&amp;MID($N$57,3,1)&amp;LEFT($N$57,1))</f>
        <v>2015 Q1</v>
      </c>
      <c r="O58" t="str">
        <f>IF(LEN($O$57)&lt;&gt;8,$O$57,RIGHT($O$57,4)&amp;" "&amp;MID($O$57,3,1)&amp;LEFT($O$57,1))</f>
        <v>2014 Q4</v>
      </c>
      <c r="P58" t="str">
        <f>IF(LEN($P$57)&lt;&gt;8,$P$57,RIGHT($P$57,4)&amp;" "&amp;MID($P$57,3,1)&amp;LEFT($P$57,1))</f>
        <v>2014 Q3</v>
      </c>
      <c r="Q58" t="str">
        <f>IF(LEN($Q$57)&lt;&gt;8,$Q$57,RIGHT($Q$57,4)&amp;" "&amp;MID($Q$57,3,1)&amp;LEFT($Q$57,1))</f>
        <v>2014 Q2</v>
      </c>
      <c r="R58" t="str">
        <f>IF(LEN($R$57)&lt;&gt;8,$R$57,RIGHT($R$57,4)&amp;" "&amp;MID($R$57,3,1)&amp;LEFT($R$57,1))</f>
        <v>2014 Q1</v>
      </c>
      <c r="S58" t="str">
        <f>IF(LEN($S$57)&lt;&gt;8,$S$57,RIGHT($S$57,4)&amp;" "&amp;MID($S$57,3,1)&amp;LEFT($S$57,1))</f>
        <v>2013 Q4</v>
      </c>
      <c r="T58" t="str">
        <f>IF(LEN($T$57)&lt;&gt;8,$T$57,RIGHT($T$57,4)&amp;" "&amp;MID($T$57,3,1)&amp;LEFT($T$57,1))</f>
        <v>2013 Q3</v>
      </c>
      <c r="U58" t="str">
        <f>IF(LEN($U$57)&lt;&gt;8,$U$57,RIGHT($U$57,4)&amp;" "&amp;MID($U$57,3,1)&amp;LEFT($U$57,1))</f>
        <v>2013 Q2</v>
      </c>
      <c r="V58" t="str">
        <f>IF(LEN($V$57)&lt;&gt;8,$V$57,RIGHT($V$57,4)&amp;" "&amp;MID($V$57,3,1)&amp;LEFT($V$57,1))</f>
        <v>2013 Q1</v>
      </c>
      <c r="W58" t="str">
        <f>IF(LEN($W$57)&lt;&gt;8,$W$57,RIGHT($W$57,4)&amp;" "&amp;MID($W$57,3,1)&amp;LEFT($W$57,1))</f>
        <v>2012 Q4</v>
      </c>
      <c r="X58" t="str">
        <f>IF(LEN($X$57)&lt;&gt;8,$X$57,RIGHT($X$57,4)&amp;" "&amp;MID($X$57,3,1)&amp;LEFT($X$57,1))</f>
        <v>2012 Q3</v>
      </c>
      <c r="Y58" t="str">
        <f>IF(LEN($Y$57)&lt;&gt;8,$Y$57,RIGHT($Y$57,4)&amp;" "&amp;MID($Y$57,3,1)&amp;LEFT($Y$57,1))</f>
        <v>2012 Q2</v>
      </c>
      <c r="Z58" t="str">
        <f>IF(LEN($Z$57)&lt;&gt;8,$Z$57,RIGHT($Z$57,4)&amp;" "&amp;MID($Z$57,3,1)&amp;LEFT($Z$57,1))</f>
        <v>2012 Q1</v>
      </c>
      <c r="AA58" t="str">
        <f>IF(LEN($AA$57)&lt;&gt;8,$AA$57,RIGHT($AA$57,4)&amp;" "&amp;MID($AA$57,3,1)&amp;LEFT($AA$57,1))</f>
        <v>2011 Q4</v>
      </c>
      <c r="AB58" t="str">
        <f>IF(LEN($AB$57)&lt;&gt;8,$AB$57,RIGHT($AB$57,4)&amp;" "&amp;MID($AB$57,3,1)&amp;LEFT($AB$57,1))</f>
        <v>2011 Q3</v>
      </c>
      <c r="AC58" t="str">
        <f>IF(LEN($AC$57)&lt;&gt;8,$AC$57,RIGHT($AC$57,4)&amp;" "&amp;MID($AC$57,3,1)&amp;LEFT($AC$57,1))</f>
        <v>2011 Q2</v>
      </c>
      <c r="AD58" t="str">
        <f>IF(LEN($AD$57)&lt;&gt;8,$AD$57,RIGHT($AD$57,4)&amp;" "&amp;MID($AD$57,3,1)&amp;LEFT($AD$57,1))</f>
        <v>2011 Q1</v>
      </c>
      <c r="AE58" t="str">
        <f>IF(LEN($AE$57)&lt;&gt;8,$AE$57,RIGHT($AE$57,4)&amp;" "&amp;MID($AE$57,3,1)&amp;LEFT($AE$57,1))</f>
        <v>2010 Q4</v>
      </c>
      <c r="AF58" t="str">
        <f>IF(LEN($AF$57)&lt;&gt;8,$AF$57,RIGHT($AF$57,4)&amp;" "&amp;MID($AF$57,3,1)&amp;LEFT($AF$57,1))</f>
        <v>2010 Q3</v>
      </c>
      <c r="AG58" t="str">
        <f>IF(LEN($AG$57)&lt;&gt;8,$AG$57,RIGHT($AG$57,4)&amp;" "&amp;MID($AG$57,3,1)&amp;LEFT($AG$57,1))</f>
        <v>2010 Q2</v>
      </c>
      <c r="AH58" t="str">
        <f>IF(LEN($AH$57)&lt;&gt;8,$AH$57,RIGHT($AH$57,4)&amp;" "&amp;MID($AH$57,3,1)&amp;LEFT($AH$57,1))</f>
        <v>2010 Q1</v>
      </c>
      <c r="AI58" t="str">
        <f>IF(LEN($AI$57)&lt;&gt;8,$AI$57,RIGHT($AI$57,4)&amp;" "&amp;MID($AI$57,3,1)&amp;LEFT($AI$57,1))</f>
        <v>2009 Q4</v>
      </c>
      <c r="AJ58" t="str">
        <f>IF(LEN($AJ$57)&lt;&gt;8,$AJ$57,RIGHT($AJ$57,4)&amp;" "&amp;MID($AJ$57,3,1)&amp;LEFT($AJ$57,1))</f>
        <v>2009 Q3</v>
      </c>
      <c r="AK58" t="str">
        <f>IF(LEN($AK$57)&lt;&gt;8,$AK$57,RIGHT($AK$57,4)&amp;" "&amp;MID($AK$57,3,1)&amp;LEFT($AK$57,1))</f>
        <v>2009 Q2</v>
      </c>
      <c r="AL58" t="str">
        <f>IF(LEN($AL$57)&lt;&gt;8,$AL$57,RIGHT($AL$57,4)&amp;" "&amp;MID($AL$57,3,1)&amp;LEFT($AL$57,1))</f>
        <v>2009 Q1</v>
      </c>
      <c r="AM58" t="str">
        <f>IF(LEN($AM$57)&lt;&gt;8,$AM$57,RIGHT($AM$57,4)&amp;" "&amp;MID($AM$57,3,1)&amp;LEFT($AM$57,1))</f>
        <v>2008 Q4</v>
      </c>
      <c r="AN58" t="str">
        <f>IF(LEN($AN$57)&lt;&gt;8,$AN$57,RIGHT($AN$57,4)&amp;" "&amp;MID($AN$57,3,1)&amp;LEFT($AN$57,1))</f>
        <v>2008 Q3</v>
      </c>
      <c r="AO58" t="str">
        <f>IF(LEN($AO$57)&lt;&gt;8,$AO$57,RIGHT($AO$57,4)&amp;" "&amp;MID($AO$57,3,1)&amp;LEFT($AO$57,1))</f>
        <v>2008 Q2</v>
      </c>
      <c r="AP58" t="str">
        <f>IF(LEN($AP$57)&lt;&gt;8,$AP$57,RIGHT($AP$57,4)&amp;" "&amp;MID($AP$57,3,1)&amp;LEFT($AP$57,1))</f>
        <v>2008 Q1</v>
      </c>
      <c r="AQ58" t="str">
        <f>IF(LEN($AQ$57)&lt;&gt;8,$AQ$57,RIGHT($AQ$57,4)&amp;" "&amp;MID($AQ$57,3,1)&amp;LEFT($AQ$57,1))</f>
        <v>2007 Q4</v>
      </c>
      <c r="AR58" t="str">
        <f>IF(LEN($AR$57)&lt;&gt;8,$AR$57,RIGHT($AR$57,4)&amp;" "&amp;MID($AR$57,3,1)&amp;LEFT($AR$57,1))</f>
        <v>2007 Q3</v>
      </c>
      <c r="AS58" t="str">
        <f>IF(LEN($AS$57)&lt;&gt;8,$AS$57,RIGHT($AS$57,4)&amp;" "&amp;MID($AS$57,3,1)&amp;LEFT($AS$57,1))</f>
        <v>2007 Q2</v>
      </c>
      <c r="AT58" t="str">
        <f>IF(LEN($AT$57)&lt;&gt;8,$AT$57,RIGHT($AT$57,4)&amp;" "&amp;MID($AT$57,3,1)&amp;LEFT($AT$57,1))</f>
        <v>2007 Q1</v>
      </c>
      <c r="AU58" t="str">
        <f>IF(LEN($AU$57)&lt;&gt;8,$AU$57,RIGHT($AU$57,4)&amp;" "&amp;MID($AU$57,3,1)&amp;LEFT($AU$57,1))</f>
        <v>2006 Q4</v>
      </c>
      <c r="AV58" t="str">
        <f>IF(LEN($AV$57)&lt;&gt;8,$AV$57,RIGHT($AV$57,4)&amp;" "&amp;MID($AV$57,3,1)&amp;LEFT($AV$57,1))</f>
        <v>2006 Q3</v>
      </c>
      <c r="AW58" t="str">
        <f>IF(LEN($AW$57)&lt;&gt;8,$AW$57,RIGHT($AW$57,4)&amp;" "&amp;MID($AW$57,3,1)&amp;LEFT($AW$57,1))</f>
        <v>2006 Q2</v>
      </c>
      <c r="AX58" t="str">
        <f>IF(LEN($AX$57)&lt;&gt;8,$AX$57,RIGHT($AX$57,4)&amp;" "&amp;MID($AX$57,3,1)&amp;LEFT($AX$57,1))</f>
        <v>2006 Q1</v>
      </c>
      <c r="AY58" t="str">
        <f>IF(LEN($AY$57)&lt;&gt;8,$AY$57,RIGHT($AY$57,4)&amp;" "&amp;MID($AY$57,3,1)&amp;LEFT($AY$57,1))</f>
        <v>2005 Q4</v>
      </c>
      <c r="AZ58" t="str">
        <f>IF(LEN($AZ$57)&lt;&gt;8,$AZ$57,RIGHT($AZ$57,4)&amp;" "&amp;MID($AZ$57,3,1)&amp;LEFT($AZ$57,1))</f>
        <v>2005 Q3</v>
      </c>
      <c r="BA58" t="str">
        <f>IF(LEN($BA$57)&lt;&gt;8,$BA$57,RIGHT($BA$57,4)&amp;" "&amp;MID($BA$57,3,1)&amp;LEFT($BA$57,1))</f>
        <v>2005 Q2</v>
      </c>
      <c r="BB58" t="str">
        <f>IF(LEN($BB$57)&lt;&gt;8,$BB$57,RIGHT($BB$57,4)&amp;" "&amp;MID($BB$57,3,1)&amp;LEFT($BB$57,1))</f>
        <v>2005 Q1</v>
      </c>
      <c r="BC58" t="str">
        <f>IF(LEN($BC$57)&lt;&gt;8,$BC$57,RIGHT($BC$57,4)&amp;" "&amp;MID($BC$57,3,1)&amp;LEFT($BC$57,1))</f>
        <v>2004 Q4</v>
      </c>
      <c r="BD58" t="str">
        <f>IF(LEN($BD$57)&lt;&gt;8,$BD$57,RIGHT($BD$57,4)&amp;" "&amp;MID($BD$57,3,1)&amp;LEFT($BD$57,1))</f>
        <v>2004 Q3</v>
      </c>
      <c r="BE58" t="str">
        <f>IF(LEN($BE$57)&lt;&gt;8,$BE$57,RIGHT($BE$57,4)&amp;" "&amp;MID($BE$57,3,1)&amp;LEFT($BE$57,1))</f>
        <v>2004 Q2</v>
      </c>
      <c r="BF58" t="str">
        <f>IF(LEN($BF$57)&lt;&gt;8,$BF$57,RIGHT($BF$57,4)&amp;" "&amp;MID($BF$57,3,1)&amp;LEFT($BF$57,1))</f>
        <v>2004 Q1</v>
      </c>
      <c r="BG58" t="str">
        <f>IF(LEN($BG$57)&lt;&gt;8,$BG$57,RIGHT($BG$57,4)&amp;" "&amp;MID($BG$57,3,1)&amp;LEFT($BG$57,1))</f>
        <v>2003 Q4</v>
      </c>
      <c r="BH58" t="str">
        <f>IF(LEN($BH$57)&lt;&gt;8,$BH$57,RIGHT($BH$57,4)&amp;" "&amp;MID($BH$57,3,1)&amp;LEFT($BH$57,1))</f>
        <v>2003 Q3</v>
      </c>
      <c r="BI58" t="str">
        <f>IF(LEN($BI$57)&lt;&gt;8,$BI$57,RIGHT($BI$57,4)&amp;" "&amp;MID($BI$57,3,1)&amp;LEFT($BI$57,1))</f>
        <v>2003 Q2</v>
      </c>
      <c r="BJ58" t="str">
        <f>IF(LEN($BJ$57)&lt;&gt;8,$BJ$57,RIGHT($BJ$57,4)&amp;" "&amp;MID($BJ$57,3,1)&amp;LEFT($BJ$57,1))</f>
        <v>2003 Q1</v>
      </c>
      <c r="BN58" t="str">
        <f>""</f>
        <v/>
      </c>
      <c r="BO58" t="str">
        <f>""</f>
        <v/>
      </c>
      <c r="BP58" t="str">
        <f>""</f>
        <v/>
      </c>
      <c r="BQ58" t="str">
        <f>""</f>
        <v/>
      </c>
      <c r="BR58" t="str">
        <f>""</f>
        <v/>
      </c>
      <c r="BS58" t="str">
        <f>""</f>
        <v/>
      </c>
      <c r="BT58" t="str">
        <f>""</f>
        <v/>
      </c>
      <c r="BU58" t="str">
        <f>""</f>
        <v/>
      </c>
      <c r="BV58" t="str">
        <f>""</f>
        <v/>
      </c>
      <c r="BW58" t="str">
        <f>""</f>
        <v/>
      </c>
      <c r="BX58" t="str">
        <f>""</f>
        <v/>
      </c>
      <c r="BY58" t="str">
        <f>""</f>
        <v/>
      </c>
      <c r="BZ58" t="str">
        <f>""</f>
        <v/>
      </c>
      <c r="CA58" t="str">
        <f>""</f>
        <v/>
      </c>
      <c r="CB58" t="str">
        <f>""</f>
        <v/>
      </c>
      <c r="CC58" t="str">
        <f>""</f>
        <v/>
      </c>
      <c r="CD58" t="str">
        <f>""</f>
        <v/>
      </c>
      <c r="CE58" t="str">
        <f>""</f>
        <v/>
      </c>
      <c r="CF58" t="str">
        <f>""</f>
        <v/>
      </c>
      <c r="CG58" t="str">
        <f>""</f>
        <v/>
      </c>
      <c r="CH58" t="str">
        <f>""</f>
        <v/>
      </c>
      <c r="CI58" t="str">
        <f>""</f>
        <v/>
      </c>
      <c r="CJ58" t="str">
        <f>""</f>
        <v/>
      </c>
      <c r="CK58" t="str">
        <f>""</f>
        <v/>
      </c>
      <c r="CL58" t="str">
        <f>""</f>
        <v/>
      </c>
      <c r="CM58" t="str">
        <f>""</f>
        <v/>
      </c>
      <c r="CN58" t="str">
        <f>""</f>
        <v/>
      </c>
      <c r="CO58" t="str">
        <f>""</f>
        <v/>
      </c>
      <c r="CP58" t="str">
        <f>""</f>
        <v/>
      </c>
      <c r="CQ58" t="str">
        <f>""</f>
        <v/>
      </c>
      <c r="CR58" t="str">
        <f>""</f>
        <v/>
      </c>
      <c r="CS58" t="str">
        <f>""</f>
        <v/>
      </c>
      <c r="CT58" t="str">
        <f>""</f>
        <v/>
      </c>
      <c r="CU58" t="str">
        <f>""</f>
        <v/>
      </c>
      <c r="CV58" t="str">
        <f>""</f>
        <v/>
      </c>
      <c r="CW58" t="str">
        <f>""</f>
        <v/>
      </c>
      <c r="CX58" t="str">
        <f>""</f>
        <v/>
      </c>
      <c r="CY58" t="str">
        <f>""</f>
        <v/>
      </c>
      <c r="CZ58" t="str">
        <f>""</f>
        <v/>
      </c>
      <c r="DA58" t="str">
        <f>""</f>
        <v/>
      </c>
      <c r="DB58" t="str">
        <f>""</f>
        <v/>
      </c>
      <c r="DC58" t="str">
        <f>""</f>
        <v/>
      </c>
      <c r="DD58" t="str">
        <f>""</f>
        <v/>
      </c>
      <c r="DE58" t="str">
        <f>""</f>
        <v/>
      </c>
      <c r="DF58" t="str">
        <f>""</f>
        <v/>
      </c>
      <c r="DG58" t="str">
        <f>""</f>
        <v/>
      </c>
      <c r="DH58" t="str">
        <f>""</f>
        <v/>
      </c>
      <c r="DI58" t="str">
        <f>""</f>
        <v/>
      </c>
      <c r="DJ58" t="str">
        <f>""</f>
        <v/>
      </c>
      <c r="DK58" t="str">
        <f>""</f>
        <v/>
      </c>
      <c r="DL58" t="str">
        <f>""</f>
        <v/>
      </c>
      <c r="DM58" t="str">
        <f>""</f>
        <v/>
      </c>
      <c r="DN58" t="str">
        <f>""</f>
        <v/>
      </c>
      <c r="DO58" t="str">
        <f>""</f>
        <v/>
      </c>
      <c r="DP58" t="str">
        <f>""</f>
        <v/>
      </c>
      <c r="DQ58" t="str">
        <f>""</f>
        <v/>
      </c>
      <c r="DR58" t="str">
        <f>""</f>
        <v/>
      </c>
      <c r="DS58" t="str">
        <f>""</f>
        <v/>
      </c>
      <c r="DT58" t="str">
        <f>""</f>
        <v/>
      </c>
      <c r="DU58" t="str">
        <f>""</f>
        <v/>
      </c>
    </row>
    <row r="59" spans="1:125">
      <c r="A59" t="str">
        <f>"BDH dynamic header0"</f>
        <v>BDH dynamic header0</v>
      </c>
      <c r="B59">
        <f ca="1">IF(OR(ISERROR($C$59),ISBLANK($C$59),ISNUMBER(SEARCH("N/A",$C$59) ),ISERROR($C$60),ISBLANK($C$60)),0,1)</f>
        <v>0</v>
      </c>
      <c r="C59" t="str">
        <f ca="1">BDH($B$30,$C$30,$B$26,$B$27,"PER=CQ","Dts=S","DtFmt=FI", "rows=2","Dir=H","Points=60","Sort=R","Days=A","Fill=B","FX=USD" )</f>
        <v>#N/A Requesting Data...</v>
      </c>
      <c r="BN59" t="str">
        <f>""</f>
        <v/>
      </c>
      <c r="BO59" t="str">
        <f>""</f>
        <v/>
      </c>
      <c r="BP59" t="str">
        <f>""</f>
        <v/>
      </c>
      <c r="BQ59" t="str">
        <f>""</f>
        <v/>
      </c>
      <c r="BR59" t="str">
        <f>""</f>
        <v/>
      </c>
      <c r="BS59" t="str">
        <f>""</f>
        <v/>
      </c>
      <c r="BT59" t="str">
        <f>""</f>
        <v/>
      </c>
      <c r="BU59" t="str">
        <f>""</f>
        <v/>
      </c>
      <c r="BV59" t="str">
        <f>""</f>
        <v/>
      </c>
      <c r="BW59" t="str">
        <f>""</f>
        <v/>
      </c>
      <c r="BX59" t="str">
        <f>""</f>
        <v/>
      </c>
      <c r="BY59" t="str">
        <f>""</f>
        <v/>
      </c>
      <c r="BZ59" t="str">
        <f>""</f>
        <v/>
      </c>
      <c r="CA59" t="str">
        <f>""</f>
        <v/>
      </c>
      <c r="CB59" t="str">
        <f>""</f>
        <v/>
      </c>
      <c r="CC59" t="str">
        <f>""</f>
        <v/>
      </c>
      <c r="CD59" t="str">
        <f>""</f>
        <v/>
      </c>
      <c r="CE59" t="str">
        <f>""</f>
        <v/>
      </c>
      <c r="CF59" t="str">
        <f>""</f>
        <v/>
      </c>
      <c r="CG59" t="str">
        <f>""</f>
        <v/>
      </c>
      <c r="CH59" t="str">
        <f>""</f>
        <v/>
      </c>
      <c r="CI59" t="str">
        <f>""</f>
        <v/>
      </c>
      <c r="CJ59" t="str">
        <f>""</f>
        <v/>
      </c>
      <c r="CK59" t="str">
        <f>""</f>
        <v/>
      </c>
      <c r="CL59" t="str">
        <f>""</f>
        <v/>
      </c>
      <c r="CM59" t="str">
        <f>""</f>
        <v/>
      </c>
      <c r="CN59" t="str">
        <f>""</f>
        <v/>
      </c>
      <c r="CO59" t="str">
        <f>""</f>
        <v/>
      </c>
      <c r="CP59" t="str">
        <f>""</f>
        <v/>
      </c>
      <c r="CQ59" t="str">
        <f>""</f>
        <v/>
      </c>
      <c r="CR59" t="str">
        <f>""</f>
        <v/>
      </c>
      <c r="CS59" t="str">
        <f>""</f>
        <v/>
      </c>
      <c r="CT59" t="str">
        <f>""</f>
        <v/>
      </c>
      <c r="CU59" t="str">
        <f>""</f>
        <v/>
      </c>
      <c r="CV59" t="str">
        <f>""</f>
        <v/>
      </c>
      <c r="CW59" t="str">
        <f>""</f>
        <v/>
      </c>
      <c r="CX59" t="str">
        <f>""</f>
        <v/>
      </c>
      <c r="CY59" t="str">
        <f>""</f>
        <v/>
      </c>
      <c r="CZ59" t="str">
        <f>""</f>
        <v/>
      </c>
      <c r="DA59" t="str">
        <f>""</f>
        <v/>
      </c>
      <c r="DB59" t="str">
        <f>""</f>
        <v/>
      </c>
      <c r="DC59" t="str">
        <f>""</f>
        <v/>
      </c>
      <c r="DD59" t="str">
        <f>""</f>
        <v/>
      </c>
      <c r="DE59" t="str">
        <f>""</f>
        <v/>
      </c>
      <c r="DF59" t="str">
        <f>""</f>
        <v/>
      </c>
      <c r="DG59" t="str">
        <f>""</f>
        <v/>
      </c>
      <c r="DH59" t="str">
        <f>""</f>
        <v/>
      </c>
      <c r="DI59" t="str">
        <f>""</f>
        <v/>
      </c>
      <c r="DJ59" t="str">
        <f>""</f>
        <v/>
      </c>
      <c r="DK59" t="str">
        <f>""</f>
        <v/>
      </c>
      <c r="DL59" t="str">
        <f>""</f>
        <v/>
      </c>
      <c r="DM59" t="str">
        <f>""</f>
        <v/>
      </c>
      <c r="DN59" t="str">
        <f>""</f>
        <v/>
      </c>
      <c r="DO59" t="str">
        <f>""</f>
        <v/>
      </c>
      <c r="DP59" t="str">
        <f>""</f>
        <v/>
      </c>
      <c r="DQ59" t="str">
        <f>""</f>
        <v/>
      </c>
      <c r="DR59" t="str">
        <f>""</f>
        <v/>
      </c>
      <c r="DS59" t="str">
        <f>""</f>
        <v/>
      </c>
      <c r="DT59" t="str">
        <f>""</f>
        <v/>
      </c>
      <c r="DU59" t="str">
        <f>""</f>
        <v/>
      </c>
    </row>
    <row r="60" spans="1:125">
      <c r="A60" t="str">
        <f>"BDH dynamic result0"</f>
        <v>BDH dynamic result0</v>
      </c>
      <c r="BN60" t="str">
        <f>""</f>
        <v/>
      </c>
      <c r="BO60" t="str">
        <f>""</f>
        <v/>
      </c>
      <c r="BP60" t="str">
        <f>""</f>
        <v/>
      </c>
      <c r="BQ60" t="str">
        <f>""</f>
        <v/>
      </c>
      <c r="BR60" t="str">
        <f>""</f>
        <v/>
      </c>
      <c r="BS60" t="str">
        <f>""</f>
        <v/>
      </c>
      <c r="BT60" t="str">
        <f>""</f>
        <v/>
      </c>
      <c r="BU60" t="str">
        <f>""</f>
        <v/>
      </c>
      <c r="BV60" t="str">
        <f>""</f>
        <v/>
      </c>
      <c r="BW60" t="str">
        <f>""</f>
        <v/>
      </c>
      <c r="BX60" t="str">
        <f>""</f>
        <v/>
      </c>
      <c r="BY60" t="str">
        <f>""</f>
        <v/>
      </c>
      <c r="BZ60" t="str">
        <f>""</f>
        <v/>
      </c>
      <c r="CA60" t="str">
        <f>""</f>
        <v/>
      </c>
      <c r="CB60" t="str">
        <f>""</f>
        <v/>
      </c>
      <c r="CC60" t="str">
        <f>""</f>
        <v/>
      </c>
      <c r="CD60" t="str">
        <f>""</f>
        <v/>
      </c>
      <c r="CE60" t="str">
        <f>""</f>
        <v/>
      </c>
      <c r="CF60" t="str">
        <f>""</f>
        <v/>
      </c>
      <c r="CG60" t="str">
        <f>""</f>
        <v/>
      </c>
      <c r="CH60" t="str">
        <f>""</f>
        <v/>
      </c>
      <c r="CI60" t="str">
        <f>""</f>
        <v/>
      </c>
      <c r="CJ60" t="str">
        <f>""</f>
        <v/>
      </c>
      <c r="CK60" t="str">
        <f>""</f>
        <v/>
      </c>
      <c r="CL60" t="str">
        <f>""</f>
        <v/>
      </c>
      <c r="CM60" t="str">
        <f>""</f>
        <v/>
      </c>
      <c r="CN60" t="str">
        <f>""</f>
        <v/>
      </c>
      <c r="CO60" t="str">
        <f>""</f>
        <v/>
      </c>
      <c r="CP60" t="str">
        <f>""</f>
        <v/>
      </c>
      <c r="CQ60" t="str">
        <f>""</f>
        <v/>
      </c>
      <c r="CR60" t="str">
        <f>""</f>
        <v/>
      </c>
      <c r="CS60" t="str">
        <f>""</f>
        <v/>
      </c>
      <c r="CT60" t="str">
        <f>""</f>
        <v/>
      </c>
      <c r="CU60" t="str">
        <f>""</f>
        <v/>
      </c>
      <c r="CV60" t="str">
        <f>""</f>
        <v/>
      </c>
      <c r="CW60" t="str">
        <f>""</f>
        <v/>
      </c>
      <c r="CX60" t="str">
        <f>""</f>
        <v/>
      </c>
      <c r="CY60" t="str">
        <f>""</f>
        <v/>
      </c>
      <c r="CZ60" t="str">
        <f>""</f>
        <v/>
      </c>
      <c r="DA60" t="str">
        <f>""</f>
        <v/>
      </c>
      <c r="DB60" t="str">
        <f>""</f>
        <v/>
      </c>
      <c r="DC60" t="str">
        <f>""</f>
        <v/>
      </c>
      <c r="DD60" t="str">
        <f>""</f>
        <v/>
      </c>
      <c r="DE60" t="str">
        <f>""</f>
        <v/>
      </c>
      <c r="DF60" t="str">
        <f>""</f>
        <v/>
      </c>
      <c r="DG60" t="str">
        <f>""</f>
        <v/>
      </c>
      <c r="DH60" t="str">
        <f>""</f>
        <v/>
      </c>
      <c r="DI60" t="str">
        <f>""</f>
        <v/>
      </c>
      <c r="DJ60" t="str">
        <f>""</f>
        <v/>
      </c>
      <c r="DK60" t="str">
        <f>""</f>
        <v/>
      </c>
      <c r="DL60" t="str">
        <f>""</f>
        <v/>
      </c>
      <c r="DM60" t="str">
        <f>""</f>
        <v/>
      </c>
      <c r="DN60" t="str">
        <f>""</f>
        <v/>
      </c>
      <c r="DO60" t="str">
        <f>""</f>
        <v/>
      </c>
      <c r="DP60" t="str">
        <f>""</f>
        <v/>
      </c>
      <c r="DQ60" t="str">
        <f>""</f>
        <v/>
      </c>
      <c r="DR60" t="str">
        <f>""</f>
        <v/>
      </c>
      <c r="DS60" t="str">
        <f>""</f>
        <v/>
      </c>
      <c r="DT60" t="str">
        <f>""</f>
        <v/>
      </c>
      <c r="DU60" t="str">
        <f>""</f>
        <v/>
      </c>
    </row>
    <row r="61" spans="1:125">
      <c r="A61" t="str">
        <f>"BDH dynamic header1"</f>
        <v>BDH dynamic header1</v>
      </c>
      <c r="B61">
        <f ca="1">IF(OR(ISERROR($C$61),ISBLANK($C$61),ISNUMBER(SEARCH("N/A",$C$61) ),ISERROR($C$62),ISBLANK($C$62)),0,1)</f>
        <v>0</v>
      </c>
      <c r="C61" t="str">
        <f ca="1">BDH($B$31,$C$31,$B$26,$B$27,"PER=CQ","Dts=S","DtFmt=FI", "rows=2","Dir=H","Points=60","Sort=R","Days=A","Fill=B","FX=USD" )</f>
        <v>#N/A Requesting Data...</v>
      </c>
      <c r="BN61" t="str">
        <f>""</f>
        <v/>
      </c>
      <c r="BO61" t="str">
        <f>""</f>
        <v/>
      </c>
      <c r="BP61" t="str">
        <f>""</f>
        <v/>
      </c>
      <c r="BQ61" t="str">
        <f>""</f>
        <v/>
      </c>
      <c r="BR61" t="str">
        <f>""</f>
        <v/>
      </c>
      <c r="BS61" t="str">
        <f>""</f>
        <v/>
      </c>
      <c r="BT61" t="str">
        <f>""</f>
        <v/>
      </c>
      <c r="BU61" t="str">
        <f>""</f>
        <v/>
      </c>
      <c r="BV61" t="str">
        <f>""</f>
        <v/>
      </c>
      <c r="BW61" t="str">
        <f>""</f>
        <v/>
      </c>
      <c r="BX61" t="str">
        <f>""</f>
        <v/>
      </c>
      <c r="BY61" t="str">
        <f>""</f>
        <v/>
      </c>
      <c r="BZ61" t="str">
        <f>""</f>
        <v/>
      </c>
      <c r="CA61" t="str">
        <f>""</f>
        <v/>
      </c>
      <c r="CB61" t="str">
        <f>""</f>
        <v/>
      </c>
      <c r="CC61" t="str">
        <f>""</f>
        <v/>
      </c>
      <c r="CD61" t="str">
        <f>""</f>
        <v/>
      </c>
      <c r="CE61" t="str">
        <f>""</f>
        <v/>
      </c>
      <c r="CF61" t="str">
        <f>""</f>
        <v/>
      </c>
      <c r="CG61" t="str">
        <f>""</f>
        <v/>
      </c>
      <c r="CH61" t="str">
        <f>""</f>
        <v/>
      </c>
      <c r="CI61" t="str">
        <f>""</f>
        <v/>
      </c>
      <c r="CJ61" t="str">
        <f>""</f>
        <v/>
      </c>
      <c r="CK61" t="str">
        <f>""</f>
        <v/>
      </c>
      <c r="CL61" t="str">
        <f>""</f>
        <v/>
      </c>
      <c r="CM61" t="str">
        <f>""</f>
        <v/>
      </c>
      <c r="CN61" t="str">
        <f>""</f>
        <v/>
      </c>
      <c r="CO61" t="str">
        <f>""</f>
        <v/>
      </c>
      <c r="CP61" t="str">
        <f>""</f>
        <v/>
      </c>
      <c r="CQ61" t="str">
        <f>""</f>
        <v/>
      </c>
      <c r="CR61" t="str">
        <f>""</f>
        <v/>
      </c>
      <c r="CS61" t="str">
        <f>""</f>
        <v/>
      </c>
      <c r="CT61" t="str">
        <f>""</f>
        <v/>
      </c>
      <c r="CU61" t="str">
        <f>""</f>
        <v/>
      </c>
      <c r="CV61" t="str">
        <f>""</f>
        <v/>
      </c>
      <c r="CW61" t="str">
        <f>""</f>
        <v/>
      </c>
      <c r="CX61" t="str">
        <f>""</f>
        <v/>
      </c>
      <c r="CY61" t="str">
        <f>""</f>
        <v/>
      </c>
      <c r="CZ61" t="str">
        <f>""</f>
        <v/>
      </c>
      <c r="DA61" t="str">
        <f>""</f>
        <v/>
      </c>
      <c r="DB61" t="str">
        <f>""</f>
        <v/>
      </c>
      <c r="DC61" t="str">
        <f>""</f>
        <v/>
      </c>
      <c r="DD61" t="str">
        <f>""</f>
        <v/>
      </c>
      <c r="DE61" t="str">
        <f>""</f>
        <v/>
      </c>
      <c r="DF61" t="str">
        <f>""</f>
        <v/>
      </c>
      <c r="DG61" t="str">
        <f>""</f>
        <v/>
      </c>
      <c r="DH61" t="str">
        <f>""</f>
        <v/>
      </c>
      <c r="DI61" t="str">
        <f>""</f>
        <v/>
      </c>
      <c r="DJ61" t="str">
        <f>""</f>
        <v/>
      </c>
      <c r="DK61" t="str">
        <f>""</f>
        <v/>
      </c>
      <c r="DL61" t="str">
        <f>""</f>
        <v/>
      </c>
      <c r="DM61" t="str">
        <f>""</f>
        <v/>
      </c>
      <c r="DN61" t="str">
        <f>""</f>
        <v/>
      </c>
      <c r="DO61" t="str">
        <f>""</f>
        <v/>
      </c>
      <c r="DP61" t="str">
        <f>""</f>
        <v/>
      </c>
      <c r="DQ61" t="str">
        <f>""</f>
        <v/>
      </c>
      <c r="DR61" t="str">
        <f>""</f>
        <v/>
      </c>
      <c r="DS61" t="str">
        <f>""</f>
        <v/>
      </c>
      <c r="DT61" t="str">
        <f>""</f>
        <v/>
      </c>
      <c r="DU61" t="str">
        <f>""</f>
        <v/>
      </c>
    </row>
    <row r="62" spans="1:125">
      <c r="A62" t="str">
        <f>"BDH dynamic result1"</f>
        <v>BDH dynamic result1</v>
      </c>
      <c r="BN62" t="str">
        <f>""</f>
        <v/>
      </c>
      <c r="BO62" t="str">
        <f>""</f>
        <v/>
      </c>
      <c r="BP62" t="str">
        <f>""</f>
        <v/>
      </c>
      <c r="BQ62" t="str">
        <f>""</f>
        <v/>
      </c>
      <c r="BR62" t="str">
        <f>""</f>
        <v/>
      </c>
      <c r="BS62" t="str">
        <f>""</f>
        <v/>
      </c>
      <c r="BT62" t="str">
        <f>""</f>
        <v/>
      </c>
      <c r="BU62" t="str">
        <f>""</f>
        <v/>
      </c>
      <c r="BV62" t="str">
        <f>""</f>
        <v/>
      </c>
      <c r="BW62" t="str">
        <f>""</f>
        <v/>
      </c>
      <c r="BX62" t="str">
        <f>""</f>
        <v/>
      </c>
      <c r="BY62" t="str">
        <f>""</f>
        <v/>
      </c>
      <c r="BZ62" t="str">
        <f>""</f>
        <v/>
      </c>
      <c r="CA62" t="str">
        <f>""</f>
        <v/>
      </c>
      <c r="CB62" t="str">
        <f>""</f>
        <v/>
      </c>
      <c r="CC62" t="str">
        <f>""</f>
        <v/>
      </c>
      <c r="CD62" t="str">
        <f>""</f>
        <v/>
      </c>
      <c r="CE62" t="str">
        <f>""</f>
        <v/>
      </c>
      <c r="CF62" t="str">
        <f>""</f>
        <v/>
      </c>
      <c r="CG62" t="str">
        <f>""</f>
        <v/>
      </c>
      <c r="CH62" t="str">
        <f>""</f>
        <v/>
      </c>
      <c r="CI62" t="str">
        <f>""</f>
        <v/>
      </c>
      <c r="CJ62" t="str">
        <f>""</f>
        <v/>
      </c>
      <c r="CK62" t="str">
        <f>""</f>
        <v/>
      </c>
      <c r="CL62" t="str">
        <f>""</f>
        <v/>
      </c>
      <c r="CM62" t="str">
        <f>""</f>
        <v/>
      </c>
      <c r="CN62" t="str">
        <f>""</f>
        <v/>
      </c>
      <c r="CO62" t="str">
        <f>""</f>
        <v/>
      </c>
      <c r="CP62" t="str">
        <f>""</f>
        <v/>
      </c>
      <c r="CQ62" t="str">
        <f>""</f>
        <v/>
      </c>
      <c r="CR62" t="str">
        <f>""</f>
        <v/>
      </c>
      <c r="CS62" t="str">
        <f>""</f>
        <v/>
      </c>
      <c r="CT62" t="str">
        <f>""</f>
        <v/>
      </c>
      <c r="CU62" t="str">
        <f>""</f>
        <v/>
      </c>
      <c r="CV62" t="str">
        <f>""</f>
        <v/>
      </c>
      <c r="CW62" t="str">
        <f>""</f>
        <v/>
      </c>
      <c r="CX62" t="str">
        <f>""</f>
        <v/>
      </c>
      <c r="CY62" t="str">
        <f>""</f>
        <v/>
      </c>
      <c r="CZ62" t="str">
        <f>""</f>
        <v/>
      </c>
      <c r="DA62" t="str">
        <f>""</f>
        <v/>
      </c>
      <c r="DB62" t="str">
        <f>""</f>
        <v/>
      </c>
      <c r="DC62" t="str">
        <f>""</f>
        <v/>
      </c>
      <c r="DD62" t="str">
        <f>""</f>
        <v/>
      </c>
      <c r="DE62" t="str">
        <f>""</f>
        <v/>
      </c>
      <c r="DF62" t="str">
        <f>""</f>
        <v/>
      </c>
      <c r="DG62" t="str">
        <f>""</f>
        <v/>
      </c>
      <c r="DH62" t="str">
        <f>""</f>
        <v/>
      </c>
      <c r="DI62" t="str">
        <f>""</f>
        <v/>
      </c>
      <c r="DJ62" t="str">
        <f>""</f>
        <v/>
      </c>
      <c r="DK62" t="str">
        <f>""</f>
        <v/>
      </c>
      <c r="DL62" t="str">
        <f>""</f>
        <v/>
      </c>
      <c r="DM62" t="str">
        <f>""</f>
        <v/>
      </c>
      <c r="DN62" t="str">
        <f>""</f>
        <v/>
      </c>
      <c r="DO62" t="str">
        <f>""</f>
        <v/>
      </c>
      <c r="DP62" t="str">
        <f>""</f>
        <v/>
      </c>
      <c r="DQ62" t="str">
        <f>""</f>
        <v/>
      </c>
      <c r="DR62" t="str">
        <f>""</f>
        <v/>
      </c>
      <c r="DS62" t="str">
        <f>""</f>
        <v/>
      </c>
      <c r="DT62" t="str">
        <f>""</f>
        <v/>
      </c>
      <c r="DU62" t="str">
        <f>""</f>
        <v/>
      </c>
    </row>
    <row r="63" spans="1:125">
      <c r="A63" t="str">
        <f>"BDH dynamic header2"</f>
        <v>BDH dynamic header2</v>
      </c>
      <c r="B63">
        <f ca="1">IF(OR(ISERROR($C$63),ISBLANK($C$63),ISNUMBER(SEARCH("N/A",$C$63) ),ISERROR($C$64),ISBLANK($C$64)),0,1)</f>
        <v>0</v>
      </c>
      <c r="C63" t="str">
        <f ca="1">BDH($B$32,$C$32,$B$26,$B$27,"PER=CQ","Dts=S","DtFmt=FI", "rows=2","Dir=H","Points=60","Sort=R","Days=A","Fill=B","FX=USD" )</f>
        <v>#N/A Requesting Data...</v>
      </c>
      <c r="BN63" t="str">
        <f>""</f>
        <v/>
      </c>
      <c r="BO63" t="str">
        <f>""</f>
        <v/>
      </c>
      <c r="BP63" t="str">
        <f>""</f>
        <v/>
      </c>
      <c r="BQ63" t="str">
        <f>""</f>
        <v/>
      </c>
      <c r="BR63" t="str">
        <f>""</f>
        <v/>
      </c>
      <c r="BS63" t="str">
        <f>""</f>
        <v/>
      </c>
      <c r="BT63" t="str">
        <f>""</f>
        <v/>
      </c>
      <c r="BU63" t="str">
        <f>""</f>
        <v/>
      </c>
      <c r="BV63" t="str">
        <f>""</f>
        <v/>
      </c>
      <c r="BW63" t="str">
        <f>""</f>
        <v/>
      </c>
      <c r="BX63" t="str">
        <f>""</f>
        <v/>
      </c>
      <c r="BY63" t="str">
        <f>""</f>
        <v/>
      </c>
      <c r="BZ63" t="str">
        <f>""</f>
        <v/>
      </c>
      <c r="CA63" t="str">
        <f>""</f>
        <v/>
      </c>
      <c r="CB63" t="str">
        <f>""</f>
        <v/>
      </c>
      <c r="CC63" t="str">
        <f>""</f>
        <v/>
      </c>
      <c r="CD63" t="str">
        <f>""</f>
        <v/>
      </c>
      <c r="CE63" t="str">
        <f>""</f>
        <v/>
      </c>
      <c r="CF63" t="str">
        <f>""</f>
        <v/>
      </c>
      <c r="CG63" t="str">
        <f>""</f>
        <v/>
      </c>
      <c r="CH63" t="str">
        <f>""</f>
        <v/>
      </c>
      <c r="CI63" t="str">
        <f>""</f>
        <v/>
      </c>
      <c r="CJ63" t="str">
        <f>""</f>
        <v/>
      </c>
      <c r="CK63" t="str">
        <f>""</f>
        <v/>
      </c>
      <c r="CL63" t="str">
        <f>""</f>
        <v/>
      </c>
      <c r="CM63" t="str">
        <f>""</f>
        <v/>
      </c>
      <c r="CN63" t="str">
        <f>""</f>
        <v/>
      </c>
      <c r="CO63" t="str">
        <f>""</f>
        <v/>
      </c>
      <c r="CP63" t="str">
        <f>""</f>
        <v/>
      </c>
      <c r="CQ63" t="str">
        <f>""</f>
        <v/>
      </c>
      <c r="CR63" t="str">
        <f>""</f>
        <v/>
      </c>
      <c r="CS63" t="str">
        <f>""</f>
        <v/>
      </c>
      <c r="CT63" t="str">
        <f>""</f>
        <v/>
      </c>
      <c r="CU63" t="str">
        <f>""</f>
        <v/>
      </c>
      <c r="CV63" t="str">
        <f>""</f>
        <v/>
      </c>
      <c r="CW63" t="str">
        <f>""</f>
        <v/>
      </c>
      <c r="CX63" t="str">
        <f>""</f>
        <v/>
      </c>
      <c r="CY63" t="str">
        <f>""</f>
        <v/>
      </c>
      <c r="CZ63" t="str">
        <f>""</f>
        <v/>
      </c>
      <c r="DA63" t="str">
        <f>""</f>
        <v/>
      </c>
      <c r="DB63" t="str">
        <f>""</f>
        <v/>
      </c>
      <c r="DC63" t="str">
        <f>""</f>
        <v/>
      </c>
      <c r="DD63" t="str">
        <f>""</f>
        <v/>
      </c>
      <c r="DE63" t="str">
        <f>""</f>
        <v/>
      </c>
      <c r="DF63" t="str">
        <f>""</f>
        <v/>
      </c>
      <c r="DG63" t="str">
        <f>""</f>
        <v/>
      </c>
      <c r="DH63" t="str">
        <f>""</f>
        <v/>
      </c>
      <c r="DI63" t="str">
        <f>""</f>
        <v/>
      </c>
      <c r="DJ63" t="str">
        <f>""</f>
        <v/>
      </c>
      <c r="DK63" t="str">
        <f>""</f>
        <v/>
      </c>
      <c r="DL63" t="str">
        <f>""</f>
        <v/>
      </c>
      <c r="DM63" t="str">
        <f>""</f>
        <v/>
      </c>
      <c r="DN63" t="str">
        <f>""</f>
        <v/>
      </c>
      <c r="DO63" t="str">
        <f>""</f>
        <v/>
      </c>
      <c r="DP63" t="str">
        <f>""</f>
        <v/>
      </c>
      <c r="DQ63" t="str">
        <f>""</f>
        <v/>
      </c>
      <c r="DR63" t="str">
        <f>""</f>
        <v/>
      </c>
      <c r="DS63" t="str">
        <f>""</f>
        <v/>
      </c>
      <c r="DT63" t="str">
        <f>""</f>
        <v/>
      </c>
      <c r="DU63" t="str">
        <f>""</f>
        <v/>
      </c>
    </row>
    <row r="64" spans="1:125">
      <c r="A64" t="str">
        <f>"BDH dynamic result2"</f>
        <v>BDH dynamic result2</v>
      </c>
      <c r="BN64" t="str">
        <f>""</f>
        <v/>
      </c>
      <c r="BO64" t="str">
        <f>""</f>
        <v/>
      </c>
      <c r="BP64" t="str">
        <f>""</f>
        <v/>
      </c>
      <c r="BQ64" t="str">
        <f>""</f>
        <v/>
      </c>
      <c r="BR64" t="str">
        <f>""</f>
        <v/>
      </c>
      <c r="BS64" t="str">
        <f>""</f>
        <v/>
      </c>
      <c r="BT64" t="str">
        <f>""</f>
        <v/>
      </c>
      <c r="BU64" t="str">
        <f>""</f>
        <v/>
      </c>
      <c r="BV64" t="str">
        <f>""</f>
        <v/>
      </c>
      <c r="BW64" t="str">
        <f>""</f>
        <v/>
      </c>
      <c r="BX64" t="str">
        <f>""</f>
        <v/>
      </c>
      <c r="BY64" t="str">
        <f>""</f>
        <v/>
      </c>
      <c r="BZ64" t="str">
        <f>""</f>
        <v/>
      </c>
      <c r="CA64" t="str">
        <f>""</f>
        <v/>
      </c>
      <c r="CB64" t="str">
        <f>""</f>
        <v/>
      </c>
      <c r="CC64" t="str">
        <f>""</f>
        <v/>
      </c>
      <c r="CD64" t="str">
        <f>""</f>
        <v/>
      </c>
      <c r="CE64" t="str">
        <f>""</f>
        <v/>
      </c>
      <c r="CF64" t="str">
        <f>""</f>
        <v/>
      </c>
      <c r="CG64" t="str">
        <f>""</f>
        <v/>
      </c>
      <c r="CH64" t="str">
        <f>""</f>
        <v/>
      </c>
      <c r="CI64" t="str">
        <f>""</f>
        <v/>
      </c>
      <c r="CJ64" t="str">
        <f>""</f>
        <v/>
      </c>
      <c r="CK64" t="str">
        <f>""</f>
        <v/>
      </c>
      <c r="CL64" t="str">
        <f>""</f>
        <v/>
      </c>
      <c r="CM64" t="str">
        <f>""</f>
        <v/>
      </c>
      <c r="CN64" t="str">
        <f>""</f>
        <v/>
      </c>
      <c r="CO64" t="str">
        <f>""</f>
        <v/>
      </c>
      <c r="CP64" t="str">
        <f>""</f>
        <v/>
      </c>
      <c r="CQ64" t="str">
        <f>""</f>
        <v/>
      </c>
      <c r="CR64" t="str">
        <f>""</f>
        <v/>
      </c>
      <c r="CS64" t="str">
        <f>""</f>
        <v/>
      </c>
      <c r="CT64" t="str">
        <f>""</f>
        <v/>
      </c>
      <c r="CU64" t="str">
        <f>""</f>
        <v/>
      </c>
      <c r="CV64" t="str">
        <f>""</f>
        <v/>
      </c>
      <c r="CW64" t="str">
        <f>""</f>
        <v/>
      </c>
      <c r="CX64" t="str">
        <f>""</f>
        <v/>
      </c>
      <c r="CY64" t="str">
        <f>""</f>
        <v/>
      </c>
      <c r="CZ64" t="str">
        <f>""</f>
        <v/>
      </c>
      <c r="DA64" t="str">
        <f>""</f>
        <v/>
      </c>
      <c r="DB64" t="str">
        <f>""</f>
        <v/>
      </c>
      <c r="DC64" t="str">
        <f>""</f>
        <v/>
      </c>
      <c r="DD64" t="str">
        <f>""</f>
        <v/>
      </c>
      <c r="DE64" t="str">
        <f>""</f>
        <v/>
      </c>
      <c r="DF64" t="str">
        <f>""</f>
        <v/>
      </c>
      <c r="DG64" t="str">
        <f>""</f>
        <v/>
      </c>
      <c r="DH64" t="str">
        <f>""</f>
        <v/>
      </c>
      <c r="DI64" t="str">
        <f>""</f>
        <v/>
      </c>
      <c r="DJ64" t="str">
        <f>""</f>
        <v/>
      </c>
      <c r="DK64" t="str">
        <f>""</f>
        <v/>
      </c>
      <c r="DL64" t="str">
        <f>""</f>
        <v/>
      </c>
      <c r="DM64" t="str">
        <f>""</f>
        <v/>
      </c>
      <c r="DN64" t="str">
        <f>""</f>
        <v/>
      </c>
      <c r="DO64" t="str">
        <f>""</f>
        <v/>
      </c>
      <c r="DP64" t="str">
        <f>""</f>
        <v/>
      </c>
      <c r="DQ64" t="str">
        <f>""</f>
        <v/>
      </c>
      <c r="DR64" t="str">
        <f>""</f>
        <v/>
      </c>
      <c r="DS64" t="str">
        <f>""</f>
        <v/>
      </c>
      <c r="DT64" t="str">
        <f>""</f>
        <v/>
      </c>
      <c r="DU64" t="str">
        <f>""</f>
        <v/>
      </c>
    </row>
    <row r="65" spans="1:125">
      <c r="A65" t="str">
        <f>"BDH dynamic"</f>
        <v>BDH dynamic</v>
      </c>
      <c r="B65">
        <f ca="1">IF($B$59&gt;=1,$B$59,IF($B$61&gt;=1,$B$61,IF($B$63&gt;=1,$B$63,$B$50)))</f>
        <v>2</v>
      </c>
      <c r="C65" t="str">
        <f ca="1">IF($B$59&gt;=1,$C$59,IF($B$61&gt;=1,$C$61,IF($B$63&gt;=1,$C$63,$C$50)))</f>
        <v>2017 Q4</v>
      </c>
      <c r="D65" t="str">
        <f ca="1">IF($B$59&gt;=1,$D$59,IF($B$61&gt;=1,$D$61,IF($B$63&gt;=1,$D$63,$D$50)))</f>
        <v>2017 Q3</v>
      </c>
      <c r="E65" t="str">
        <f ca="1">IF($B$59&gt;=1,$E$59,IF($B$61&gt;=1,$E$61,IF($B$63&gt;=1,$E$63,$E$50)))</f>
        <v>2017 Q2</v>
      </c>
      <c r="F65" t="str">
        <f ca="1">IF($B$59&gt;=1,$F$59,IF($B$61&gt;=1,$F$61,IF($B$63&gt;=1,$F$63,$F$50)))</f>
        <v>2017 Q1</v>
      </c>
      <c r="G65" t="str">
        <f ca="1">IF($B$59&gt;=1,$G$59,IF($B$61&gt;=1,$G$61,IF($B$63&gt;=1,$G$63,$G$50)))</f>
        <v>2016 Q4</v>
      </c>
      <c r="H65" t="str">
        <f ca="1">IF($B$59&gt;=1,$H$59,IF($B$61&gt;=1,$H$61,IF($B$63&gt;=1,$H$63,$H$50)))</f>
        <v>2016 Q3</v>
      </c>
      <c r="I65" t="str">
        <f ca="1">IF($B$59&gt;=1,$I$59,IF($B$61&gt;=1,$I$61,IF($B$63&gt;=1,$I$63,$I$50)))</f>
        <v>2016 Q2</v>
      </c>
      <c r="J65" t="str">
        <f ca="1">IF($B$59&gt;=1,$J$59,IF($B$61&gt;=1,$J$61,IF($B$63&gt;=1,$J$63,$J$50)))</f>
        <v>2016 Q1</v>
      </c>
      <c r="K65" t="str">
        <f ca="1">IF($B$59&gt;=1,$K$59,IF($B$61&gt;=1,$K$61,IF($B$63&gt;=1,$K$63,$K$50)))</f>
        <v>2015 Q4</v>
      </c>
      <c r="L65" t="str">
        <f ca="1">IF($B$59&gt;=1,$L$59,IF($B$61&gt;=1,$L$61,IF($B$63&gt;=1,$L$63,$L$50)))</f>
        <v>2015 Q3</v>
      </c>
      <c r="M65" t="str">
        <f ca="1">IF($B$59&gt;=1,$M$59,IF($B$61&gt;=1,$M$61,IF($B$63&gt;=1,$M$63,$M$50)))</f>
        <v>2015 Q2</v>
      </c>
      <c r="N65" t="str">
        <f ca="1">IF($B$59&gt;=1,$N$59,IF($B$61&gt;=1,$N$61,IF($B$63&gt;=1,$N$63,$N$50)))</f>
        <v>2015 Q1</v>
      </c>
      <c r="O65" t="str">
        <f ca="1">IF($B$59&gt;=1,$O$59,IF($B$61&gt;=1,$O$61,IF($B$63&gt;=1,$O$63,$O$50)))</f>
        <v>2014 Q4</v>
      </c>
      <c r="P65" t="str">
        <f ca="1">IF($B$59&gt;=1,$P$59,IF($B$61&gt;=1,$P$61,IF($B$63&gt;=1,$P$63,$P$50)))</f>
        <v>2014 Q3</v>
      </c>
      <c r="Q65" t="str">
        <f ca="1">IF($B$59&gt;=1,$Q$59,IF($B$61&gt;=1,$Q$61,IF($B$63&gt;=1,$Q$63,$Q$50)))</f>
        <v>2014 Q2</v>
      </c>
      <c r="R65" t="str">
        <f ca="1">IF($B$59&gt;=1,$R$59,IF($B$61&gt;=1,$R$61,IF($B$63&gt;=1,$R$63,$R$50)))</f>
        <v>2014 Q1</v>
      </c>
      <c r="S65" t="str">
        <f ca="1">IF($B$59&gt;=1,$S$59,IF($B$61&gt;=1,$S$61,IF($B$63&gt;=1,$S$63,$S$50)))</f>
        <v>2013 Q4</v>
      </c>
      <c r="T65" t="str">
        <f ca="1">IF($B$59&gt;=1,$T$59,IF($B$61&gt;=1,$T$61,IF($B$63&gt;=1,$T$63,$T$50)))</f>
        <v>2013 Q3</v>
      </c>
      <c r="U65" t="str">
        <f ca="1">IF($B$59&gt;=1,$U$59,IF($B$61&gt;=1,$U$61,IF($B$63&gt;=1,$U$63,$U$50)))</f>
        <v>2013 Q2</v>
      </c>
      <c r="V65" t="str">
        <f ca="1">IF($B$59&gt;=1,$V$59,IF($B$61&gt;=1,$V$61,IF($B$63&gt;=1,$V$63,$V$50)))</f>
        <v>2013 Q1</v>
      </c>
      <c r="W65" t="str">
        <f ca="1">IF($B$59&gt;=1,$W$59,IF($B$61&gt;=1,$W$61,IF($B$63&gt;=1,$W$63,$W$50)))</f>
        <v>2012 Q4</v>
      </c>
      <c r="X65" t="str">
        <f ca="1">IF($B$59&gt;=1,$X$59,IF($B$61&gt;=1,$X$61,IF($B$63&gt;=1,$X$63,$X$50)))</f>
        <v>2012 Q3</v>
      </c>
      <c r="Y65" t="str">
        <f ca="1">IF($B$59&gt;=1,$Y$59,IF($B$61&gt;=1,$Y$61,IF($B$63&gt;=1,$Y$63,$Y$50)))</f>
        <v>2012 Q2</v>
      </c>
      <c r="Z65" t="str">
        <f ca="1">IF($B$59&gt;=1,$Z$59,IF($B$61&gt;=1,$Z$61,IF($B$63&gt;=1,$Z$63,$Z$50)))</f>
        <v>2012 Q1</v>
      </c>
      <c r="AA65" t="str">
        <f ca="1">IF($B$59&gt;=1,$AA$59,IF($B$61&gt;=1,$AA$61,IF($B$63&gt;=1,$AA$63,$AA$50)))</f>
        <v>2011 Q4</v>
      </c>
      <c r="AB65" t="str">
        <f ca="1">IF($B$59&gt;=1,$AB$59,IF($B$61&gt;=1,$AB$61,IF($B$63&gt;=1,$AB$63,$AB$50)))</f>
        <v>2011 Q3</v>
      </c>
      <c r="AC65" t="str">
        <f ca="1">IF($B$59&gt;=1,$AC$59,IF($B$61&gt;=1,$AC$61,IF($B$63&gt;=1,$AC$63,$AC$50)))</f>
        <v>2011 Q2</v>
      </c>
      <c r="AD65" t="str">
        <f ca="1">IF($B$59&gt;=1,$AD$59,IF($B$61&gt;=1,$AD$61,IF($B$63&gt;=1,$AD$63,$AD$50)))</f>
        <v>2011 Q1</v>
      </c>
      <c r="AE65" t="str">
        <f ca="1">IF($B$59&gt;=1,$AE$59,IF($B$61&gt;=1,$AE$61,IF($B$63&gt;=1,$AE$63,$AE$50)))</f>
        <v>2010 Q4</v>
      </c>
      <c r="AF65" t="str">
        <f ca="1">IF($B$59&gt;=1,$AF$59,IF($B$61&gt;=1,$AF$61,IF($B$63&gt;=1,$AF$63,$AF$50)))</f>
        <v>2010 Q3</v>
      </c>
      <c r="AG65" t="str">
        <f ca="1">IF($B$59&gt;=1,$AG$59,IF($B$61&gt;=1,$AG$61,IF($B$63&gt;=1,$AG$63,$AG$50)))</f>
        <v>2010 Q2</v>
      </c>
      <c r="AH65" t="str">
        <f ca="1">IF($B$59&gt;=1,$AH$59,IF($B$61&gt;=1,$AH$61,IF($B$63&gt;=1,$AH$63,$AH$50)))</f>
        <v>2010 Q1</v>
      </c>
      <c r="AI65" t="str">
        <f ca="1">IF($B$59&gt;=1,$AI$59,IF($B$61&gt;=1,$AI$61,IF($B$63&gt;=1,$AI$63,$AI$50)))</f>
        <v>2009 Q4</v>
      </c>
      <c r="AJ65" t="str">
        <f ca="1">IF($B$59&gt;=1,$AJ$59,IF($B$61&gt;=1,$AJ$61,IF($B$63&gt;=1,$AJ$63,$AJ$50)))</f>
        <v>2009 Q3</v>
      </c>
      <c r="AK65" t="str">
        <f ca="1">IF($B$59&gt;=1,$AK$59,IF($B$61&gt;=1,$AK$61,IF($B$63&gt;=1,$AK$63,$AK$50)))</f>
        <v>2009 Q2</v>
      </c>
      <c r="AL65" t="str">
        <f ca="1">IF($B$59&gt;=1,$AL$59,IF($B$61&gt;=1,$AL$61,IF($B$63&gt;=1,$AL$63,$AL$50)))</f>
        <v>2009 Q1</v>
      </c>
      <c r="AM65" t="str">
        <f ca="1">IF($B$59&gt;=1,$AM$59,IF($B$61&gt;=1,$AM$61,IF($B$63&gt;=1,$AM$63,$AM$50)))</f>
        <v>2008 Q4</v>
      </c>
      <c r="AN65" t="str">
        <f ca="1">IF($B$59&gt;=1,$AN$59,IF($B$61&gt;=1,$AN$61,IF($B$63&gt;=1,$AN$63,$AN$50)))</f>
        <v>2008 Q3</v>
      </c>
      <c r="AO65" t="str">
        <f ca="1">IF($B$59&gt;=1,$AO$59,IF($B$61&gt;=1,$AO$61,IF($B$63&gt;=1,$AO$63,$AO$50)))</f>
        <v>2008 Q2</v>
      </c>
      <c r="AP65" t="str">
        <f ca="1">IF($B$59&gt;=1,$AP$59,IF($B$61&gt;=1,$AP$61,IF($B$63&gt;=1,$AP$63,$AP$50)))</f>
        <v>2008 Q1</v>
      </c>
      <c r="AQ65" t="str">
        <f ca="1">IF($B$59&gt;=1,$AQ$59,IF($B$61&gt;=1,$AQ$61,IF($B$63&gt;=1,$AQ$63,$AQ$50)))</f>
        <v>2007 Q4</v>
      </c>
      <c r="AR65" t="str">
        <f ca="1">IF($B$59&gt;=1,$AR$59,IF($B$61&gt;=1,$AR$61,IF($B$63&gt;=1,$AR$63,$AR$50)))</f>
        <v>2007 Q3</v>
      </c>
      <c r="AS65" t="str">
        <f ca="1">IF($B$59&gt;=1,$AS$59,IF($B$61&gt;=1,$AS$61,IF($B$63&gt;=1,$AS$63,$AS$50)))</f>
        <v>2007 Q2</v>
      </c>
      <c r="AT65" t="str">
        <f ca="1">IF($B$59&gt;=1,$AT$59,IF($B$61&gt;=1,$AT$61,IF($B$63&gt;=1,$AT$63,$AT$50)))</f>
        <v>2007 Q1</v>
      </c>
      <c r="AU65" t="str">
        <f ca="1">IF($B$59&gt;=1,$AU$59,IF($B$61&gt;=1,$AU$61,IF($B$63&gt;=1,$AU$63,$AU$50)))</f>
        <v>2006 Q4</v>
      </c>
      <c r="AV65" t="str">
        <f ca="1">IF($B$59&gt;=1,$AV$59,IF($B$61&gt;=1,$AV$61,IF($B$63&gt;=1,$AV$63,$AV$50)))</f>
        <v>2006 Q3</v>
      </c>
      <c r="AW65" t="str">
        <f ca="1">IF($B$59&gt;=1,$AW$59,IF($B$61&gt;=1,$AW$61,IF($B$63&gt;=1,$AW$63,$AW$50)))</f>
        <v>2006 Q2</v>
      </c>
      <c r="AX65" t="str">
        <f ca="1">IF($B$59&gt;=1,$AX$59,IF($B$61&gt;=1,$AX$61,IF($B$63&gt;=1,$AX$63,$AX$50)))</f>
        <v>2006 Q1</v>
      </c>
      <c r="AY65" t="str">
        <f ca="1">IF($B$59&gt;=1,$AY$59,IF($B$61&gt;=1,$AY$61,IF($B$63&gt;=1,$AY$63,$AY$50)))</f>
        <v>2005 Q4</v>
      </c>
      <c r="AZ65" t="str">
        <f ca="1">IF($B$59&gt;=1,$AZ$59,IF($B$61&gt;=1,$AZ$61,IF($B$63&gt;=1,$AZ$63,$AZ$50)))</f>
        <v>2005 Q3</v>
      </c>
      <c r="BA65" t="str">
        <f ca="1">IF($B$59&gt;=1,$BA$59,IF($B$61&gt;=1,$BA$61,IF($B$63&gt;=1,$BA$63,$BA$50)))</f>
        <v>2005 Q2</v>
      </c>
      <c r="BB65" t="str">
        <f ca="1">IF($B$59&gt;=1,$BB$59,IF($B$61&gt;=1,$BB$61,IF($B$63&gt;=1,$BB$63,$BB$50)))</f>
        <v>2005 Q1</v>
      </c>
      <c r="BC65" t="str">
        <f ca="1">IF($B$59&gt;=1,$BC$59,IF($B$61&gt;=1,$BC$61,IF($B$63&gt;=1,$BC$63,$BC$50)))</f>
        <v>2004 Q4</v>
      </c>
      <c r="BD65" t="str">
        <f ca="1">IF($B$59&gt;=1,$BD$59,IF($B$61&gt;=1,$BD$61,IF($B$63&gt;=1,$BD$63,$BD$50)))</f>
        <v>2004 Q3</v>
      </c>
      <c r="BE65" t="str">
        <f ca="1">IF($B$59&gt;=1,$BE$59,IF($B$61&gt;=1,$BE$61,IF($B$63&gt;=1,$BE$63,$BE$50)))</f>
        <v>2004 Q2</v>
      </c>
      <c r="BF65" t="str">
        <f ca="1">IF($B$59&gt;=1,$BF$59,IF($B$61&gt;=1,$BF$61,IF($B$63&gt;=1,$BF$63,$BF$50)))</f>
        <v>2004 Q1</v>
      </c>
      <c r="BG65" t="str">
        <f ca="1">IF($B$59&gt;=1,$BG$59,IF($B$61&gt;=1,$BG$61,IF($B$63&gt;=1,$BG$63,$BG$50)))</f>
        <v>2003 Q4</v>
      </c>
      <c r="BH65" t="str">
        <f ca="1">IF($B$59&gt;=1,$BH$59,IF($B$61&gt;=1,$BH$61,IF($B$63&gt;=1,$BH$63,$BH$50)))</f>
        <v>2003 Q3</v>
      </c>
      <c r="BI65" t="str">
        <f ca="1">IF($B$59&gt;=1,$BI$59,IF($B$61&gt;=1,$BI$61,IF($B$63&gt;=1,$BI$63,$BI$50)))</f>
        <v>2003 Q2</v>
      </c>
      <c r="BJ65" t="str">
        <f ca="1">IF($B$59&gt;=1,$BJ$59,IF($B$61&gt;=1,$BJ$61,IF($B$63&gt;=1,$BJ$63,$BJ$50)))</f>
        <v>2003 Q1</v>
      </c>
      <c r="BN65" t="str">
        <f>""</f>
        <v/>
      </c>
      <c r="BO65" t="str">
        <f>""</f>
        <v/>
      </c>
      <c r="BP65" t="str">
        <f>""</f>
        <v/>
      </c>
      <c r="BQ65" t="str">
        <f>""</f>
        <v/>
      </c>
      <c r="BR65" t="str">
        <f>""</f>
        <v/>
      </c>
      <c r="BS65" t="str">
        <f>""</f>
        <v/>
      </c>
      <c r="BT65" t="str">
        <f>""</f>
        <v/>
      </c>
      <c r="BU65" t="str">
        <f>""</f>
        <v/>
      </c>
      <c r="BV65" t="str">
        <f>""</f>
        <v/>
      </c>
      <c r="BW65" t="str">
        <f>""</f>
        <v/>
      </c>
      <c r="BX65" t="str">
        <f>""</f>
        <v/>
      </c>
      <c r="BY65" t="str">
        <f>""</f>
        <v/>
      </c>
      <c r="BZ65" t="str">
        <f>""</f>
        <v/>
      </c>
      <c r="CA65" t="str">
        <f>""</f>
        <v/>
      </c>
      <c r="CB65" t="str">
        <f>""</f>
        <v/>
      </c>
      <c r="CC65" t="str">
        <f>""</f>
        <v/>
      </c>
      <c r="CD65" t="str">
        <f>""</f>
        <v/>
      </c>
      <c r="CE65" t="str">
        <f>""</f>
        <v/>
      </c>
      <c r="CF65" t="str">
        <f>""</f>
        <v/>
      </c>
      <c r="CG65" t="str">
        <f>""</f>
        <v/>
      </c>
      <c r="CH65" t="str">
        <f>""</f>
        <v/>
      </c>
      <c r="CI65" t="str">
        <f>""</f>
        <v/>
      </c>
      <c r="CJ65" t="str">
        <f>""</f>
        <v/>
      </c>
      <c r="CK65" t="str">
        <f>""</f>
        <v/>
      </c>
      <c r="CL65" t="str">
        <f>""</f>
        <v/>
      </c>
      <c r="CM65" t="str">
        <f>""</f>
        <v/>
      </c>
      <c r="CN65" t="str">
        <f>""</f>
        <v/>
      </c>
      <c r="CO65" t="str">
        <f>""</f>
        <v/>
      </c>
      <c r="CP65" t="str">
        <f>""</f>
        <v/>
      </c>
      <c r="CQ65" t="str">
        <f>""</f>
        <v/>
      </c>
      <c r="CR65" t="str">
        <f>""</f>
        <v/>
      </c>
      <c r="CS65" t="str">
        <f>""</f>
        <v/>
      </c>
      <c r="CT65" t="str">
        <f>""</f>
        <v/>
      </c>
      <c r="CU65" t="str">
        <f>""</f>
        <v/>
      </c>
      <c r="CV65" t="str">
        <f>""</f>
        <v/>
      </c>
      <c r="CW65" t="str">
        <f>""</f>
        <v/>
      </c>
      <c r="CX65" t="str">
        <f>""</f>
        <v/>
      </c>
      <c r="CY65" t="str">
        <f>""</f>
        <v/>
      </c>
      <c r="CZ65" t="str">
        <f>""</f>
        <v/>
      </c>
      <c r="DA65" t="str">
        <f>""</f>
        <v/>
      </c>
      <c r="DB65" t="str">
        <f>""</f>
        <v/>
      </c>
      <c r="DC65" t="str">
        <f>""</f>
        <v/>
      </c>
      <c r="DD65" t="str">
        <f>""</f>
        <v/>
      </c>
      <c r="DE65" t="str">
        <f>""</f>
        <v/>
      </c>
      <c r="DF65" t="str">
        <f>""</f>
        <v/>
      </c>
      <c r="DG65" t="str">
        <f>""</f>
        <v/>
      </c>
      <c r="DH65" t="str">
        <f>""</f>
        <v/>
      </c>
      <c r="DI65" t="str">
        <f>""</f>
        <v/>
      </c>
      <c r="DJ65" t="str">
        <f>""</f>
        <v/>
      </c>
      <c r="DK65" t="str">
        <f>""</f>
        <v/>
      </c>
      <c r="DL65" t="str">
        <f>""</f>
        <v/>
      </c>
      <c r="DM65" t="str">
        <f>""</f>
        <v/>
      </c>
      <c r="DN65" t="str">
        <f>""</f>
        <v/>
      </c>
      <c r="DO65" t="str">
        <f>""</f>
        <v/>
      </c>
      <c r="DP65" t="str">
        <f>""</f>
        <v/>
      </c>
      <c r="DQ65" t="str">
        <f>""</f>
        <v/>
      </c>
      <c r="DR65" t="str">
        <f>""</f>
        <v/>
      </c>
      <c r="DS65" t="str">
        <f>""</f>
        <v/>
      </c>
      <c r="DT65" t="str">
        <f>""</f>
        <v/>
      </c>
      <c r="DU65" t="str">
        <f>""</f>
        <v/>
      </c>
    </row>
    <row r="66" spans="1:125">
      <c r="A66" t="str">
        <f>"BDH dynamic title"</f>
        <v>BDH dynamic title</v>
      </c>
      <c r="B66">
        <f ca="1">$B$65</f>
        <v>2</v>
      </c>
      <c r="C66" t="str">
        <f ca="1">IF(LEN($C$65)&lt;&gt;8,$C$65,RIGHT($C$65,4)&amp;" "&amp;MID($C$65,3,1)&amp;LEFT($C$65,1))</f>
        <v>2017 Q4</v>
      </c>
      <c r="D66" t="str">
        <f ca="1">IF(LEN($D$65)&lt;&gt;8,$D$65,RIGHT($D$65,4)&amp;" "&amp;MID($D$65,3,1)&amp;LEFT($D$65,1))</f>
        <v>2017 Q3</v>
      </c>
      <c r="E66" t="str">
        <f ca="1">IF(LEN($E$65)&lt;&gt;8,$E$65,RIGHT($E$65,4)&amp;" "&amp;MID($E$65,3,1)&amp;LEFT($E$65,1))</f>
        <v>2017 Q2</v>
      </c>
      <c r="F66" t="str">
        <f ca="1">IF(LEN($F$65)&lt;&gt;8,$F$65,RIGHT($F$65,4)&amp;" "&amp;MID($F$65,3,1)&amp;LEFT($F$65,1))</f>
        <v>2017 Q1</v>
      </c>
      <c r="G66" t="str">
        <f ca="1">IF(LEN($G$65)&lt;&gt;8,$G$65,RIGHT($G$65,4)&amp;" "&amp;MID($G$65,3,1)&amp;LEFT($G$65,1))</f>
        <v>2016 Q4</v>
      </c>
      <c r="H66" t="str">
        <f ca="1">IF(LEN($H$65)&lt;&gt;8,$H$65,RIGHT($H$65,4)&amp;" "&amp;MID($H$65,3,1)&amp;LEFT($H$65,1))</f>
        <v>2016 Q3</v>
      </c>
      <c r="I66" t="str">
        <f ca="1">IF(LEN($I$65)&lt;&gt;8,$I$65,RIGHT($I$65,4)&amp;" "&amp;MID($I$65,3,1)&amp;LEFT($I$65,1))</f>
        <v>2016 Q2</v>
      </c>
      <c r="J66" t="str">
        <f ca="1">IF(LEN($J$65)&lt;&gt;8,$J$65,RIGHT($J$65,4)&amp;" "&amp;MID($J$65,3,1)&amp;LEFT($J$65,1))</f>
        <v>2016 Q1</v>
      </c>
      <c r="K66" t="str">
        <f ca="1">IF(LEN($K$65)&lt;&gt;8,$K$65,RIGHT($K$65,4)&amp;" "&amp;MID($K$65,3,1)&amp;LEFT($K$65,1))</f>
        <v>2015 Q4</v>
      </c>
      <c r="L66" t="str">
        <f ca="1">IF(LEN($L$65)&lt;&gt;8,$L$65,RIGHT($L$65,4)&amp;" "&amp;MID($L$65,3,1)&amp;LEFT($L$65,1))</f>
        <v>2015 Q3</v>
      </c>
      <c r="M66" t="str">
        <f ca="1">IF(LEN($M$65)&lt;&gt;8,$M$65,RIGHT($M$65,4)&amp;" "&amp;MID($M$65,3,1)&amp;LEFT($M$65,1))</f>
        <v>2015 Q2</v>
      </c>
      <c r="N66" t="str">
        <f ca="1">IF(LEN($N$65)&lt;&gt;8,$N$65,RIGHT($N$65,4)&amp;" "&amp;MID($N$65,3,1)&amp;LEFT($N$65,1))</f>
        <v>2015 Q1</v>
      </c>
      <c r="O66" t="str">
        <f ca="1">IF(LEN($O$65)&lt;&gt;8,$O$65,RIGHT($O$65,4)&amp;" "&amp;MID($O$65,3,1)&amp;LEFT($O$65,1))</f>
        <v>2014 Q4</v>
      </c>
      <c r="P66" t="str">
        <f ca="1">IF(LEN($P$65)&lt;&gt;8,$P$65,RIGHT($P$65,4)&amp;" "&amp;MID($P$65,3,1)&amp;LEFT($P$65,1))</f>
        <v>2014 Q3</v>
      </c>
      <c r="Q66" t="str">
        <f ca="1">IF(LEN($Q$65)&lt;&gt;8,$Q$65,RIGHT($Q$65,4)&amp;" "&amp;MID($Q$65,3,1)&amp;LEFT($Q$65,1))</f>
        <v>2014 Q2</v>
      </c>
      <c r="R66" t="str">
        <f ca="1">IF(LEN($R$65)&lt;&gt;8,$R$65,RIGHT($R$65,4)&amp;" "&amp;MID($R$65,3,1)&amp;LEFT($R$65,1))</f>
        <v>2014 Q1</v>
      </c>
      <c r="S66" t="str">
        <f ca="1">IF(LEN($S$65)&lt;&gt;8,$S$65,RIGHT($S$65,4)&amp;" "&amp;MID($S$65,3,1)&amp;LEFT($S$65,1))</f>
        <v>2013 Q4</v>
      </c>
      <c r="T66" t="str">
        <f ca="1">IF(LEN($T$65)&lt;&gt;8,$T$65,RIGHT($T$65,4)&amp;" "&amp;MID($T$65,3,1)&amp;LEFT($T$65,1))</f>
        <v>2013 Q3</v>
      </c>
      <c r="U66" t="str">
        <f ca="1">IF(LEN($U$65)&lt;&gt;8,$U$65,RIGHT($U$65,4)&amp;" "&amp;MID($U$65,3,1)&amp;LEFT($U$65,1))</f>
        <v>2013 Q2</v>
      </c>
      <c r="V66" t="str">
        <f ca="1">IF(LEN($V$65)&lt;&gt;8,$V$65,RIGHT($V$65,4)&amp;" "&amp;MID($V$65,3,1)&amp;LEFT($V$65,1))</f>
        <v>2013 Q1</v>
      </c>
      <c r="W66" t="str">
        <f ca="1">IF(LEN($W$65)&lt;&gt;8,$W$65,RIGHT($W$65,4)&amp;" "&amp;MID($W$65,3,1)&amp;LEFT($W$65,1))</f>
        <v>2012 Q4</v>
      </c>
      <c r="X66" t="str">
        <f ca="1">IF(LEN($X$65)&lt;&gt;8,$X$65,RIGHT($X$65,4)&amp;" "&amp;MID($X$65,3,1)&amp;LEFT($X$65,1))</f>
        <v>2012 Q3</v>
      </c>
      <c r="Y66" t="str">
        <f ca="1">IF(LEN($Y$65)&lt;&gt;8,$Y$65,RIGHT($Y$65,4)&amp;" "&amp;MID($Y$65,3,1)&amp;LEFT($Y$65,1))</f>
        <v>2012 Q2</v>
      </c>
      <c r="Z66" t="str">
        <f ca="1">IF(LEN($Z$65)&lt;&gt;8,$Z$65,RIGHT($Z$65,4)&amp;" "&amp;MID($Z$65,3,1)&amp;LEFT($Z$65,1))</f>
        <v>2012 Q1</v>
      </c>
      <c r="AA66" t="str">
        <f ca="1">IF(LEN($AA$65)&lt;&gt;8,$AA$65,RIGHT($AA$65,4)&amp;" "&amp;MID($AA$65,3,1)&amp;LEFT($AA$65,1))</f>
        <v>2011 Q4</v>
      </c>
      <c r="AB66" t="str">
        <f ca="1">IF(LEN($AB$65)&lt;&gt;8,$AB$65,RIGHT($AB$65,4)&amp;" "&amp;MID($AB$65,3,1)&amp;LEFT($AB$65,1))</f>
        <v>2011 Q3</v>
      </c>
      <c r="AC66" t="str">
        <f ca="1">IF(LEN($AC$65)&lt;&gt;8,$AC$65,RIGHT($AC$65,4)&amp;" "&amp;MID($AC$65,3,1)&amp;LEFT($AC$65,1))</f>
        <v>2011 Q2</v>
      </c>
      <c r="AD66" t="str">
        <f ca="1">IF(LEN($AD$65)&lt;&gt;8,$AD$65,RIGHT($AD$65,4)&amp;" "&amp;MID($AD$65,3,1)&amp;LEFT($AD$65,1))</f>
        <v>2011 Q1</v>
      </c>
      <c r="AE66" t="str">
        <f ca="1">IF(LEN($AE$65)&lt;&gt;8,$AE$65,RIGHT($AE$65,4)&amp;" "&amp;MID($AE$65,3,1)&amp;LEFT($AE$65,1))</f>
        <v>2010 Q4</v>
      </c>
      <c r="AF66" t="str">
        <f ca="1">IF(LEN($AF$65)&lt;&gt;8,$AF$65,RIGHT($AF$65,4)&amp;" "&amp;MID($AF$65,3,1)&amp;LEFT($AF$65,1))</f>
        <v>2010 Q3</v>
      </c>
      <c r="AG66" t="str">
        <f ca="1">IF(LEN($AG$65)&lt;&gt;8,$AG$65,RIGHT($AG$65,4)&amp;" "&amp;MID($AG$65,3,1)&amp;LEFT($AG$65,1))</f>
        <v>2010 Q2</v>
      </c>
      <c r="AH66" t="str">
        <f ca="1">IF(LEN($AH$65)&lt;&gt;8,$AH$65,RIGHT($AH$65,4)&amp;" "&amp;MID($AH$65,3,1)&amp;LEFT($AH$65,1))</f>
        <v>2010 Q1</v>
      </c>
      <c r="AI66" t="str">
        <f ca="1">IF(LEN($AI$65)&lt;&gt;8,$AI$65,RIGHT($AI$65,4)&amp;" "&amp;MID($AI$65,3,1)&amp;LEFT($AI$65,1))</f>
        <v>2009 Q4</v>
      </c>
      <c r="AJ66" t="str">
        <f ca="1">IF(LEN($AJ$65)&lt;&gt;8,$AJ$65,RIGHT($AJ$65,4)&amp;" "&amp;MID($AJ$65,3,1)&amp;LEFT($AJ$65,1))</f>
        <v>2009 Q3</v>
      </c>
      <c r="AK66" t="str">
        <f ca="1">IF(LEN($AK$65)&lt;&gt;8,$AK$65,RIGHT($AK$65,4)&amp;" "&amp;MID($AK$65,3,1)&amp;LEFT($AK$65,1))</f>
        <v>2009 Q2</v>
      </c>
      <c r="AL66" t="str">
        <f ca="1">IF(LEN($AL$65)&lt;&gt;8,$AL$65,RIGHT($AL$65,4)&amp;" "&amp;MID($AL$65,3,1)&amp;LEFT($AL$65,1))</f>
        <v>2009 Q1</v>
      </c>
      <c r="AM66" t="str">
        <f ca="1">IF(LEN($AM$65)&lt;&gt;8,$AM$65,RIGHT($AM$65,4)&amp;" "&amp;MID($AM$65,3,1)&amp;LEFT($AM$65,1))</f>
        <v>2008 Q4</v>
      </c>
      <c r="AN66" t="str">
        <f ca="1">IF(LEN($AN$65)&lt;&gt;8,$AN$65,RIGHT($AN$65,4)&amp;" "&amp;MID($AN$65,3,1)&amp;LEFT($AN$65,1))</f>
        <v>2008 Q3</v>
      </c>
      <c r="AO66" t="str">
        <f ca="1">IF(LEN($AO$65)&lt;&gt;8,$AO$65,RIGHT($AO$65,4)&amp;" "&amp;MID($AO$65,3,1)&amp;LEFT($AO$65,1))</f>
        <v>2008 Q2</v>
      </c>
      <c r="AP66" t="str">
        <f ca="1">IF(LEN($AP$65)&lt;&gt;8,$AP$65,RIGHT($AP$65,4)&amp;" "&amp;MID($AP$65,3,1)&amp;LEFT($AP$65,1))</f>
        <v>2008 Q1</v>
      </c>
      <c r="AQ66" t="str">
        <f ca="1">IF(LEN($AQ$65)&lt;&gt;8,$AQ$65,RIGHT($AQ$65,4)&amp;" "&amp;MID($AQ$65,3,1)&amp;LEFT($AQ$65,1))</f>
        <v>2007 Q4</v>
      </c>
      <c r="AR66" t="str">
        <f ca="1">IF(LEN($AR$65)&lt;&gt;8,$AR$65,RIGHT($AR$65,4)&amp;" "&amp;MID($AR$65,3,1)&amp;LEFT($AR$65,1))</f>
        <v>2007 Q3</v>
      </c>
      <c r="AS66" t="str">
        <f ca="1">IF(LEN($AS$65)&lt;&gt;8,$AS$65,RIGHT($AS$65,4)&amp;" "&amp;MID($AS$65,3,1)&amp;LEFT($AS$65,1))</f>
        <v>2007 Q2</v>
      </c>
      <c r="AT66" t="str">
        <f ca="1">IF(LEN($AT$65)&lt;&gt;8,$AT$65,RIGHT($AT$65,4)&amp;" "&amp;MID($AT$65,3,1)&amp;LEFT($AT$65,1))</f>
        <v>2007 Q1</v>
      </c>
      <c r="AU66" t="str">
        <f ca="1">IF(LEN($AU$65)&lt;&gt;8,$AU$65,RIGHT($AU$65,4)&amp;" "&amp;MID($AU$65,3,1)&amp;LEFT($AU$65,1))</f>
        <v>2006 Q4</v>
      </c>
      <c r="AV66" t="str">
        <f ca="1">IF(LEN($AV$65)&lt;&gt;8,$AV$65,RIGHT($AV$65,4)&amp;" "&amp;MID($AV$65,3,1)&amp;LEFT($AV$65,1))</f>
        <v>2006 Q3</v>
      </c>
      <c r="AW66" t="str">
        <f ca="1">IF(LEN($AW$65)&lt;&gt;8,$AW$65,RIGHT($AW$65,4)&amp;" "&amp;MID($AW$65,3,1)&amp;LEFT($AW$65,1))</f>
        <v>2006 Q2</v>
      </c>
      <c r="AX66" t="str">
        <f ca="1">IF(LEN($AX$65)&lt;&gt;8,$AX$65,RIGHT($AX$65,4)&amp;" "&amp;MID($AX$65,3,1)&amp;LEFT($AX$65,1))</f>
        <v>2006 Q1</v>
      </c>
      <c r="AY66" t="str">
        <f ca="1">IF(LEN($AY$65)&lt;&gt;8,$AY$65,RIGHT($AY$65,4)&amp;" "&amp;MID($AY$65,3,1)&amp;LEFT($AY$65,1))</f>
        <v>2005 Q4</v>
      </c>
      <c r="AZ66" t="str">
        <f ca="1">IF(LEN($AZ$65)&lt;&gt;8,$AZ$65,RIGHT($AZ$65,4)&amp;" "&amp;MID($AZ$65,3,1)&amp;LEFT($AZ$65,1))</f>
        <v>2005 Q3</v>
      </c>
      <c r="BA66" t="str">
        <f ca="1">IF(LEN($BA$65)&lt;&gt;8,$BA$65,RIGHT($BA$65,4)&amp;" "&amp;MID($BA$65,3,1)&amp;LEFT($BA$65,1))</f>
        <v>2005 Q2</v>
      </c>
      <c r="BB66" t="str">
        <f ca="1">IF(LEN($BB$65)&lt;&gt;8,$BB$65,RIGHT($BB$65,4)&amp;" "&amp;MID($BB$65,3,1)&amp;LEFT($BB$65,1))</f>
        <v>2005 Q1</v>
      </c>
      <c r="BC66" t="str">
        <f ca="1">IF(LEN($BC$65)&lt;&gt;8,$BC$65,RIGHT($BC$65,4)&amp;" "&amp;MID($BC$65,3,1)&amp;LEFT($BC$65,1))</f>
        <v>2004 Q4</v>
      </c>
      <c r="BD66" t="str">
        <f ca="1">IF(LEN($BD$65)&lt;&gt;8,$BD$65,RIGHT($BD$65,4)&amp;" "&amp;MID($BD$65,3,1)&amp;LEFT($BD$65,1))</f>
        <v>2004 Q3</v>
      </c>
      <c r="BE66" t="str">
        <f ca="1">IF(LEN($BE$65)&lt;&gt;8,$BE$65,RIGHT($BE$65,4)&amp;" "&amp;MID($BE$65,3,1)&amp;LEFT($BE$65,1))</f>
        <v>2004 Q2</v>
      </c>
      <c r="BF66" t="str">
        <f ca="1">IF(LEN($BF$65)&lt;&gt;8,$BF$65,RIGHT($BF$65,4)&amp;" "&amp;MID($BF$65,3,1)&amp;LEFT($BF$65,1))</f>
        <v>2004 Q1</v>
      </c>
      <c r="BG66" t="str">
        <f ca="1">IF(LEN($BG$65)&lt;&gt;8,$BG$65,RIGHT($BG$65,4)&amp;" "&amp;MID($BG$65,3,1)&amp;LEFT($BG$65,1))</f>
        <v>2003 Q4</v>
      </c>
      <c r="BH66" t="str">
        <f ca="1">IF(LEN($BH$65)&lt;&gt;8,$BH$65,RIGHT($BH$65,4)&amp;" "&amp;MID($BH$65,3,1)&amp;LEFT($BH$65,1))</f>
        <v>2003 Q3</v>
      </c>
      <c r="BI66" t="str">
        <f ca="1">IF(LEN($BI$65)&lt;&gt;8,$BI$65,RIGHT($BI$65,4)&amp;" "&amp;MID($BI$65,3,1)&amp;LEFT($BI$65,1))</f>
        <v>2003 Q2</v>
      </c>
      <c r="BJ66" t="str">
        <f ca="1">IF(LEN($BJ$65)&lt;&gt;8,$BJ$65,RIGHT($BJ$65,4)&amp;" "&amp;MID($BJ$65,3,1)&amp;LEFT($BJ$65,1))</f>
        <v>2003 Q1</v>
      </c>
      <c r="BN66" t="str">
        <f>""</f>
        <v/>
      </c>
      <c r="BO66" t="str">
        <f>""</f>
        <v/>
      </c>
      <c r="BP66" t="str">
        <f>""</f>
        <v/>
      </c>
      <c r="BQ66" t="str">
        <f>""</f>
        <v/>
      </c>
      <c r="BR66" t="str">
        <f>""</f>
        <v/>
      </c>
      <c r="BS66" t="str">
        <f>""</f>
        <v/>
      </c>
      <c r="BT66" t="str">
        <f>""</f>
        <v/>
      </c>
      <c r="BU66" t="str">
        <f>""</f>
        <v/>
      </c>
      <c r="BV66" t="str">
        <f>""</f>
        <v/>
      </c>
      <c r="BW66" t="str">
        <f>""</f>
        <v/>
      </c>
      <c r="BX66" t="str">
        <f>""</f>
        <v/>
      </c>
      <c r="BY66" t="str">
        <f>""</f>
        <v/>
      </c>
      <c r="BZ66" t="str">
        <f>""</f>
        <v/>
      </c>
      <c r="CA66" t="str">
        <f>""</f>
        <v/>
      </c>
      <c r="CB66" t="str">
        <f>""</f>
        <v/>
      </c>
      <c r="CC66" t="str">
        <f>""</f>
        <v/>
      </c>
      <c r="CD66" t="str">
        <f>""</f>
        <v/>
      </c>
      <c r="CE66" t="str">
        <f>""</f>
        <v/>
      </c>
      <c r="CF66" t="str">
        <f>""</f>
        <v/>
      </c>
      <c r="CG66" t="str">
        <f>""</f>
        <v/>
      </c>
      <c r="CH66" t="str">
        <f>""</f>
        <v/>
      </c>
      <c r="CI66" t="str">
        <f>""</f>
        <v/>
      </c>
      <c r="CJ66" t="str">
        <f>""</f>
        <v/>
      </c>
      <c r="CK66" t="str">
        <f>""</f>
        <v/>
      </c>
      <c r="CL66" t="str">
        <f>""</f>
        <v/>
      </c>
      <c r="CM66" t="str">
        <f>""</f>
        <v/>
      </c>
      <c r="CN66" t="str">
        <f>""</f>
        <v/>
      </c>
      <c r="CO66" t="str">
        <f>""</f>
        <v/>
      </c>
      <c r="CP66" t="str">
        <f>""</f>
        <v/>
      </c>
      <c r="CQ66" t="str">
        <f>""</f>
        <v/>
      </c>
      <c r="CR66" t="str">
        <f>""</f>
        <v/>
      </c>
      <c r="CS66" t="str">
        <f>""</f>
        <v/>
      </c>
      <c r="CT66" t="str">
        <f>""</f>
        <v/>
      </c>
      <c r="CU66" t="str">
        <f>""</f>
        <v/>
      </c>
      <c r="CV66" t="str">
        <f>""</f>
        <v/>
      </c>
      <c r="CW66" t="str">
        <f>""</f>
        <v/>
      </c>
      <c r="CX66" t="str">
        <f>""</f>
        <v/>
      </c>
      <c r="CY66" t="str">
        <f>""</f>
        <v/>
      </c>
      <c r="CZ66" t="str">
        <f>""</f>
        <v/>
      </c>
      <c r="DA66" t="str">
        <f>""</f>
        <v/>
      </c>
      <c r="DB66" t="str">
        <f>""</f>
        <v/>
      </c>
      <c r="DC66" t="str">
        <f>""</f>
        <v/>
      </c>
      <c r="DD66" t="str">
        <f>""</f>
        <v/>
      </c>
      <c r="DE66" t="str">
        <f>""</f>
        <v/>
      </c>
      <c r="DF66" t="str">
        <f>""</f>
        <v/>
      </c>
      <c r="DG66" t="str">
        <f>""</f>
        <v/>
      </c>
      <c r="DH66" t="str">
        <f>""</f>
        <v/>
      </c>
      <c r="DI66" t="str">
        <f>""</f>
        <v/>
      </c>
      <c r="DJ66" t="str">
        <f>""</f>
        <v/>
      </c>
      <c r="DK66" t="str">
        <f>""</f>
        <v/>
      </c>
      <c r="DL66" t="str">
        <f>""</f>
        <v/>
      </c>
      <c r="DM66" t="str">
        <f>""</f>
        <v/>
      </c>
      <c r="DN66" t="str">
        <f>""</f>
        <v/>
      </c>
      <c r="DO66" t="str">
        <f>""</f>
        <v/>
      </c>
      <c r="DP66" t="str">
        <f>""</f>
        <v/>
      </c>
      <c r="DQ66" t="str">
        <f>""</f>
        <v/>
      </c>
      <c r="DR66" t="str">
        <f>""</f>
        <v/>
      </c>
      <c r="DS66" t="str">
        <f>""</f>
        <v/>
      </c>
      <c r="DT66" t="str">
        <f>""</f>
        <v/>
      </c>
      <c r="DU66" t="str">
        <f>""</f>
        <v/>
      </c>
    </row>
    <row r="67" spans="1:125">
      <c r="A67" t="str">
        <f>"No error found"</f>
        <v>No error found</v>
      </c>
      <c r="B67" t="str">
        <f>""</f>
        <v/>
      </c>
      <c r="C67" t="str">
        <f>""</f>
        <v/>
      </c>
      <c r="D67" t="str">
        <f>""</f>
        <v/>
      </c>
      <c r="E67" t="str">
        <f>""</f>
        <v/>
      </c>
      <c r="BN67" t="str">
        <f>""</f>
        <v/>
      </c>
      <c r="BO67" t="str">
        <f>""</f>
        <v/>
      </c>
      <c r="BP67" t="str">
        <f>""</f>
        <v/>
      </c>
      <c r="BQ67" t="str">
        <f>""</f>
        <v/>
      </c>
      <c r="BR67" t="str">
        <f>""</f>
        <v/>
      </c>
      <c r="BS67" t="str">
        <f>""</f>
        <v/>
      </c>
      <c r="BT67" t="str">
        <f>""</f>
        <v/>
      </c>
      <c r="BU67" t="str">
        <f>""</f>
        <v/>
      </c>
      <c r="BV67" t="str">
        <f>""</f>
        <v/>
      </c>
      <c r="BW67" t="str">
        <f>""</f>
        <v/>
      </c>
      <c r="BX67" t="str">
        <f>""</f>
        <v/>
      </c>
      <c r="BY67" t="str">
        <f>""</f>
        <v/>
      </c>
      <c r="BZ67" t="str">
        <f>""</f>
        <v/>
      </c>
      <c r="CA67" t="str">
        <f>""</f>
        <v/>
      </c>
      <c r="CB67" t="str">
        <f>""</f>
        <v/>
      </c>
      <c r="CC67" t="str">
        <f>""</f>
        <v/>
      </c>
      <c r="CD67" t="str">
        <f>""</f>
        <v/>
      </c>
      <c r="CE67" t="str">
        <f>""</f>
        <v/>
      </c>
      <c r="CF67" t="str">
        <f>""</f>
        <v/>
      </c>
      <c r="CG67" t="str">
        <f>""</f>
        <v/>
      </c>
      <c r="CH67" t="str">
        <f>""</f>
        <v/>
      </c>
      <c r="CI67" t="str">
        <f>""</f>
        <v/>
      </c>
      <c r="CJ67" t="str">
        <f>""</f>
        <v/>
      </c>
      <c r="CK67" t="str">
        <f>""</f>
        <v/>
      </c>
      <c r="CL67" t="str">
        <f>""</f>
        <v/>
      </c>
      <c r="CM67" t="str">
        <f>""</f>
        <v/>
      </c>
      <c r="CN67" t="str">
        <f>""</f>
        <v/>
      </c>
      <c r="CO67" t="str">
        <f>""</f>
        <v/>
      </c>
      <c r="CP67" t="str">
        <f>""</f>
        <v/>
      </c>
      <c r="CQ67" t="str">
        <f>""</f>
        <v/>
      </c>
      <c r="CR67" t="str">
        <f>""</f>
        <v/>
      </c>
      <c r="CS67" t="str">
        <f>""</f>
        <v/>
      </c>
      <c r="CT67" t="str">
        <f>""</f>
        <v/>
      </c>
      <c r="CU67" t="str">
        <f>""</f>
        <v/>
      </c>
      <c r="CV67" t="str">
        <f>""</f>
        <v/>
      </c>
      <c r="CW67" t="str">
        <f>""</f>
        <v/>
      </c>
      <c r="CX67" t="str">
        <f>""</f>
        <v/>
      </c>
      <c r="CY67" t="str">
        <f>""</f>
        <v/>
      </c>
      <c r="CZ67" t="str">
        <f>""</f>
        <v/>
      </c>
      <c r="DA67" t="str">
        <f>""</f>
        <v/>
      </c>
      <c r="DB67" t="str">
        <f>""</f>
        <v/>
      </c>
      <c r="DC67" t="str">
        <f>""</f>
        <v/>
      </c>
      <c r="DD67" t="str">
        <f>""</f>
        <v/>
      </c>
      <c r="DE67" t="str">
        <f>""</f>
        <v/>
      </c>
      <c r="DF67" t="str">
        <f>""</f>
        <v/>
      </c>
      <c r="DG67" t="str">
        <f>""</f>
        <v/>
      </c>
      <c r="DH67" t="str">
        <f>""</f>
        <v/>
      </c>
      <c r="DI67" t="str">
        <f>""</f>
        <v/>
      </c>
      <c r="DJ67" t="str">
        <f>""</f>
        <v/>
      </c>
      <c r="DK67" t="str">
        <f>""</f>
        <v/>
      </c>
      <c r="DL67" t="str">
        <f>""</f>
        <v/>
      </c>
      <c r="DM67" t="str">
        <f>""</f>
        <v/>
      </c>
      <c r="DN67" t="str">
        <f>""</f>
        <v/>
      </c>
      <c r="DO67" t="str">
        <f>""</f>
        <v/>
      </c>
      <c r="DP67" t="str">
        <f>""</f>
        <v/>
      </c>
      <c r="DQ67" t="str">
        <f>""</f>
        <v/>
      </c>
      <c r="DR67" t="str">
        <f>""</f>
        <v/>
      </c>
      <c r="DS67" t="str">
        <f>""</f>
        <v/>
      </c>
      <c r="DT67" t="str">
        <f>""</f>
        <v/>
      </c>
      <c r="DU67" t="str">
        <f>""</f>
        <v/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FormatPr defaultRowHeight="13.5"/>
  <cols>
    <col min="1" max="1" width="9.125" bestFit="1" customWidth="1"/>
  </cols>
  <sheetData>
    <row r="1" spans="1:1" ht="15">
      <c r="A1" s="1"/>
    </row>
    <row r="2" spans="1:1">
      <c r="A2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BIData</vt:lpstr>
      <vt:lpstr>ReferenceData</vt:lpstr>
      <vt:lpstr>帮助-参考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lenovo</cp:lastModifiedBy>
  <dcterms:created xsi:type="dcterms:W3CDTF">2013-04-03T15:49:21Z</dcterms:created>
  <dcterms:modified xsi:type="dcterms:W3CDTF">2018-03-14T02:56:00Z</dcterms:modified>
</cp:coreProperties>
</file>